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12" codeName="{00000000-0000-0000-0000-000000000000}"/>
  <fileSharing readOnlyRecommended="1"/>
  <workbookPr filterPrivacy="1" codeName="ThisWorkbook"/>
  <xr:revisionPtr revIDLastSave="3668" documentId="8_{AECFB5FA-D5C0-4A64-8BF2-73A87C4376FA}" xr6:coauthVersionLast="47" xr6:coauthVersionMax="47" xr10:uidLastSave="{3E1F36C3-0F34-4F9A-976D-9EDA56247703}"/>
  <bookViews>
    <workbookView xWindow="40920" yWindow="-120" windowWidth="29040" windowHeight="15720" tabRatio="900" xr2:uid="{00000000-000D-0000-FFFF-FFFF00000000}"/>
  </bookViews>
  <sheets>
    <sheet name="Cover" sheetId="84" r:id="rId1"/>
    <sheet name="Conceptual Model" sheetId="98" r:id="rId2"/>
    <sheet name="Inputs &gt;&gt;" sheetId="20" r:id="rId3"/>
    <sheet name="Water_totex" sheetId="94" r:id="rId4"/>
    <sheet name="F_Inputs BP" sheetId="101" r:id="rId5"/>
    <sheet name="Inputs" sheetId="69" r:id="rId6"/>
    <sheet name="Other_Inputs" sheetId="72" r:id="rId7"/>
    <sheet name="Reallocations" sheetId="68" r:id="rId8"/>
    <sheet name="F_Input Override" sheetId="65" r:id="rId9"/>
    <sheet name="Final Input" sheetId="66" r:id="rId10"/>
    <sheet name="Analysis &gt;&gt;" sheetId="32" r:id="rId11"/>
    <sheet name="Development Cost Calculations" sheetId="105" r:id="rId12"/>
    <sheet name="DPC and SIPR Cost Calculations" sheetId="76" r:id="rId13"/>
    <sheet name="Final Development Cost Split" sheetId="78" r:id="rId14"/>
    <sheet name="Materiality &amp; Deep Dive" sheetId="41" r:id="rId15"/>
    <sheet name="Outputs &gt;&gt;" sheetId="45" r:id="rId16"/>
    <sheet name="Allowance" sheetId="38" r:id="rId17"/>
    <sheet name="RAPID Gate Costs" sheetId="82" r:id="rId18"/>
    <sheet name="Outputs to aggregator" sheetId="71" r:id="rId19"/>
    <sheet name="F_Outputs" sheetId="104" r:id="rId20"/>
  </sheets>
  <definedNames>
    <definedName name="____net1" localSheetId="1" hidden="1">{"NET",#N/A,FALSE,"401C11"}</definedName>
    <definedName name="____net1" localSheetId="3" hidden="1">{"NET",#N/A,FALSE,"401C11"}</definedName>
    <definedName name="____net1" hidden="1">{"NET",#N/A,FALSE,"401C11"}</definedName>
    <definedName name="__123Graph_A" localSheetId="1" hidden="1">#REF!</definedName>
    <definedName name="__123Graph_A" localSheetId="3" hidden="1">#REF!</definedName>
    <definedName name="__123Graph_A" hidden="1">#REF!</definedName>
    <definedName name="__123Graph_AHSIZE" localSheetId="1" hidden="1">#REF!</definedName>
    <definedName name="__123Graph_AHSIZE" hidden="1">#REF!</definedName>
    <definedName name="__123Graph_AVALUEA" hidden="1">#REF!</definedName>
    <definedName name="__123Graph_AVALUEB" hidden="1">#REF!</definedName>
    <definedName name="__123Graph_AVALUEC" hidden="1">#REF!</definedName>
    <definedName name="__123Graph_B" localSheetId="1" hidden="1">#REF!</definedName>
    <definedName name="__123Graph_B" localSheetId="3" hidden="1">#REF!</definedName>
    <definedName name="__123Graph_B" hidden="1">#REF!</definedName>
    <definedName name="__123Graph_BHSIZE" localSheetId="1" hidden="1">#REF!</definedName>
    <definedName name="__123Graph_BHSIZE" hidden="1">#REF!</definedName>
    <definedName name="__123Graph_C" localSheetId="1" hidden="1">#REF!</definedName>
    <definedName name="__123Graph_C" localSheetId="3" hidden="1">#REF!</definedName>
    <definedName name="__123Graph_C" hidden="1">#REF!</definedName>
    <definedName name="__123Graph_CHSIZE" localSheetId="1" hidden="1">#REF!</definedName>
    <definedName name="__123Graph_CHSIZE" hidden="1">#REF!</definedName>
    <definedName name="__123Graph_X" localSheetId="1" hidden="1">#REF!</definedName>
    <definedName name="__123Graph_X" localSheetId="3" hidden="1">#REF!</definedName>
    <definedName name="__123Graph_X" hidden="1">#REF!</definedName>
    <definedName name="__123Graph_XHSIZE" localSheetId="1" hidden="1">#REF!</definedName>
    <definedName name="__123Graph_XHSIZE" hidden="1">#REF!</definedName>
    <definedName name="__123Graph_XVALUEA" hidden="1">#REF!</definedName>
    <definedName name="__123Graph_XVALUEB" hidden="1">#REF!</definedName>
    <definedName name="__123Graph_XVALUEC" hidden="1">#REF!</definedName>
    <definedName name="__IntlFixup" hidden="1">TRUE</definedName>
    <definedName name="__net1" localSheetId="1" hidden="1">{"NET",#N/A,FALSE,"401C11"}</definedName>
    <definedName name="__net1" localSheetId="3" hidden="1">{"NET",#N/A,FALSE,"401C11"}</definedName>
    <definedName name="__net1" hidden="1">{"NET",#N/A,FALSE,"401C11"}</definedName>
    <definedName name="_1_____123Graph_ACHART_1" hidden="1">#REF!</definedName>
    <definedName name="_1__123Graph_AALK_CO2\PH" localSheetId="1" hidden="1">#REF!</definedName>
    <definedName name="_1__123Graph_AALK_CO2\PH" hidden="1">#REF!</definedName>
    <definedName name="_1_0__123Grap" localSheetId="1" hidden="1">#REF!</definedName>
    <definedName name="_1_0__123Grap" localSheetId="3" hidden="1">#REF!</definedName>
    <definedName name="_1_0__123Grap" hidden="1">#REF!</definedName>
    <definedName name="_1_123Grap" localSheetId="1" hidden="1">#REF!</definedName>
    <definedName name="_1_123Grap" localSheetId="3" hidden="1">#REF!</definedName>
    <definedName name="_1_123Grap" hidden="1">#REF!</definedName>
    <definedName name="_12__123Graph_ACHART_6" hidden="1">#REF!</definedName>
    <definedName name="_123Graph_AA" hidden="1">#REF!</definedName>
    <definedName name="_123Graph_F" localSheetId="1" hidden="1">#REF!</definedName>
    <definedName name="_123Graph_F" localSheetId="3" hidden="1">#REF!</definedName>
    <definedName name="_123Graph_F" hidden="1">#REF!</definedName>
    <definedName name="_13___123Graph_ACHART_1" hidden="1">#REF!</definedName>
    <definedName name="_14___123Graph_ACHART_2" hidden="1">#REF!</definedName>
    <definedName name="_15___123Graph_ACHART_6" hidden="1">#REF!</definedName>
    <definedName name="_16___123Graph_BCHART_1" hidden="1">#REF!</definedName>
    <definedName name="_16__123Graph_BCHART_1" hidden="1">#REF!</definedName>
    <definedName name="_17___123Graph_BCHART_2" hidden="1">#REF!</definedName>
    <definedName name="_18___123Graph_BCHART_6" hidden="1">#REF!</definedName>
    <definedName name="_2_____123Graph_ACHART_2" hidden="1">#REF!</definedName>
    <definedName name="_2__123Graph_XALK_CO2\PH" hidden="1">#REF!</definedName>
    <definedName name="_2_0__123Grap" localSheetId="1" hidden="1">#REF!</definedName>
    <definedName name="_2_0__123Grap" localSheetId="3" hidden="1">#REF!</definedName>
    <definedName name="_2_0__123Grap" hidden="1">#REF!</definedName>
    <definedName name="_2_123Grap" localSheetId="1" hidden="1">#REF!</definedName>
    <definedName name="_2_123Grap" localSheetId="3" hidden="1">#REF!</definedName>
    <definedName name="_2_123Grap" hidden="1">#REF!</definedName>
    <definedName name="_20__123Graph_BCHART_2" hidden="1">#REF!</definedName>
    <definedName name="_24__123Graph_BCHART_6" hidden="1">#REF!</definedName>
    <definedName name="_3_____123Graph_ACHART_6" hidden="1">#REF!</definedName>
    <definedName name="_3_0_S" localSheetId="1" hidden="1">#REF!</definedName>
    <definedName name="_3_0_S" localSheetId="3" hidden="1">#REF!</definedName>
    <definedName name="_3_0_S" hidden="1">#REF!</definedName>
    <definedName name="_3_123Grap" localSheetId="1" hidden="1">#REF!</definedName>
    <definedName name="_3_123Grap" localSheetId="3" hidden="1">#REF!</definedName>
    <definedName name="_3_123Grap" hidden="1">#REF!</definedName>
    <definedName name="_34_123Grap" localSheetId="1" hidden="1">#REF!</definedName>
    <definedName name="_34_123Grap" localSheetId="3" hidden="1">#REF!</definedName>
    <definedName name="_34_123Grap" hidden="1">#REF!</definedName>
    <definedName name="_4_____123Graph_BCHART_1" hidden="1">#REF!</definedName>
    <definedName name="_4__123Graph_ACHART_1" hidden="1">#REF!</definedName>
    <definedName name="_42S" localSheetId="1" hidden="1">#REF!</definedName>
    <definedName name="_42S" localSheetId="3" hidden="1">#REF!</definedName>
    <definedName name="_42S" hidden="1">#REF!</definedName>
    <definedName name="_4S" localSheetId="1" hidden="1">#REF!</definedName>
    <definedName name="_4S" localSheetId="3" hidden="1">#REF!</definedName>
    <definedName name="_4S" hidden="1">#REF!</definedName>
    <definedName name="_5_____123Graph_BCHART_2" hidden="1">#REF!</definedName>
    <definedName name="_5_0__123Grap" localSheetId="1" hidden="1">#REF!</definedName>
    <definedName name="_5_0__123Grap" localSheetId="3" hidden="1">#REF!</definedName>
    <definedName name="_5_0__123Grap" hidden="1">#REF!</definedName>
    <definedName name="_6_____123Graph_BCHART_6" hidden="1">#REF!</definedName>
    <definedName name="_6_0_S" localSheetId="1" hidden="1">#REF!</definedName>
    <definedName name="_6_0_S" localSheetId="3" hidden="1">#REF!</definedName>
    <definedName name="_6_0_S" hidden="1">#REF!</definedName>
    <definedName name="_6_123Grap" localSheetId="1" hidden="1">#REF!</definedName>
    <definedName name="_6_123Grap" localSheetId="3" hidden="1">#REF!</definedName>
    <definedName name="_6_123Grap" hidden="1">#REF!</definedName>
    <definedName name="_8__123Graph_ACHART_2" hidden="1">#REF!</definedName>
    <definedName name="_8_123Grap" localSheetId="1" hidden="1">#REF!</definedName>
    <definedName name="_8_123Grap" localSheetId="3" hidden="1">#REF!</definedName>
    <definedName name="_8_123Grap" hidden="1">#REF!</definedName>
    <definedName name="_8S" localSheetId="1" hidden="1">#REF!</definedName>
    <definedName name="_8S" localSheetId="3" hidden="1">#REF!</definedName>
    <definedName name="_8S" hidden="1">#REF!</definedName>
    <definedName name="_AtRisk_SimSetting_AutomaticallyGenerateReports">FALSE</definedName>
    <definedName name="_AtRisk_SimSetting_AutomaticResultsDisplayMode">0</definedName>
    <definedName name="_AtRisk_SimSetting_ConvergenceConfidenceLevel">0.95</definedName>
    <definedName name="_AtRisk_SimSetting_ConvergencePercentileToTest">0.9</definedName>
    <definedName name="_AtRisk_SimSetting_ConvergencePerformMeanTest">TRUE</definedName>
    <definedName name="_AtRisk_SimSetting_ConvergencePerformPercentileTest">FALSE</definedName>
    <definedName name="_AtRisk_SimSetting_ConvergencePerformStdDeviationTest">FALSE</definedName>
    <definedName name="_AtRisk_SimSetting_ConvergenceTestAllOutputs">TRUE</definedName>
    <definedName name="_AtRisk_SimSetting_ConvergenceTestingPeriod">100</definedName>
    <definedName name="_AtRisk_SimSetting_ConvergenceTolerance">0.03</definedName>
    <definedName name="_AtRisk_SimSetting_LiveUpdate">TRUE</definedName>
    <definedName name="_AtRisk_SimSetting_LiveUpdatePeriod">-1</definedName>
    <definedName name="_AtRisk_SimSetting_MacroRecalculationBehavior">0</definedName>
    <definedName name="_AtRisk_SimSetting_RandomNumberGenerator">0</definedName>
    <definedName name="_AtRisk_SimSetting_ReportOptionCustomItemsCount">0</definedName>
    <definedName name="_AtRisk_SimSetting_ReportOptionDataMode">1</definedName>
    <definedName name="_AtRisk_SimSetting_ReportOptionReportMultiSimType">1</definedName>
    <definedName name="_AtRisk_SimSetting_ReportOptionReportPlacement">1</definedName>
    <definedName name="_AtRisk_SimSetting_ReportOptionReportSelection">257</definedName>
    <definedName name="_AtRisk_SimSetting_ReportOptionReportsFileType">1</definedName>
    <definedName name="_AtRisk_SimSetting_ReportOptionSelectiveQR">FALSE</definedName>
    <definedName name="_AtRisk_SimSetting_ReportsList">257</definedName>
    <definedName name="_AtRisk_SimSetting_ShowSimulationProgressWindow">TRUE</definedName>
    <definedName name="_AtRisk_SimSetting_SimNameCount">0</definedName>
    <definedName name="_AtRisk_SimSetting_SmartSensitivityAnalysisEnabled">TRUE</definedName>
    <definedName name="_AtRisk_SimSetting_StatisticFunctionUpdating">1</definedName>
    <definedName name="_AtRisk_SimSetting_StdRecalcActiveSimulationNumber">1</definedName>
    <definedName name="_AtRisk_SimSetting_StdRecalcBehavior">1</definedName>
    <definedName name="_AtRisk_SimSetting_StdRecalcWithoutRiskStatic">0</definedName>
    <definedName name="_AtRisk_SimSetting_StdRecalcWithoutRiskStaticPercentile">0.5</definedName>
    <definedName name="_Dist_Values" localSheetId="1" hidden="1">#REF!</definedName>
    <definedName name="_Dist_Values" hidden="1">#REF!</definedName>
    <definedName name="_Fill" localSheetId="1" hidden="1">#REF!</definedName>
    <definedName name="_Fill" localSheetId="3" hidden="1">#REF!</definedName>
    <definedName name="_Fill" hidden="1">#REF!</definedName>
    <definedName name="_xlnm._FilterDatabase" localSheetId="12" hidden="1">'DPC and SIPR Cost Calculations'!$B$5:$I$36</definedName>
    <definedName name="_xlnm._FilterDatabase" localSheetId="13" hidden="1">'Final Development Cost Split'!$A$3:$P$50</definedName>
    <definedName name="_Key1" localSheetId="1" hidden="1">#REF!</definedName>
    <definedName name="_Key1" localSheetId="3" hidden="1">#REF!</definedName>
    <definedName name="_Key1" hidden="1">#REF!</definedName>
    <definedName name="_Key2" localSheetId="1" hidden="1">#REF!</definedName>
    <definedName name="_Key2" localSheetId="3" hidden="1">#REF!</definedName>
    <definedName name="_Key2" hidden="1">#REF!</definedName>
    <definedName name="_net1" localSheetId="1" hidden="1">{"NET",#N/A,FALSE,"401C11"}</definedName>
    <definedName name="_net1" localSheetId="3" hidden="1">{"NET",#N/A,FALSE,"401C11"}</definedName>
    <definedName name="_net1" hidden="1">{"NET",#N/A,FALSE,"401C11"}</definedName>
    <definedName name="_net2" localSheetId="1" hidden="1">{"NET",#N/A,FALSE,"401C11"}</definedName>
    <definedName name="_net2" hidden="1">{"NET",#N/A,FALSE,"401C11"}</definedName>
    <definedName name="_Order1">255</definedName>
    <definedName name="_Order2">255</definedName>
    <definedName name="_Sort" localSheetId="1" hidden="1">#REF!</definedName>
    <definedName name="_Sort" localSheetId="0" hidden="1">#REF!</definedName>
    <definedName name="_Sort" hidden="1">#REF!</definedName>
    <definedName name="_xlpm.s" hidden="1" xlm="1">#NAME?</definedName>
    <definedName name="_xlpm.Shts" hidden="1" xlm="1">#NAME?</definedName>
    <definedName name="_xlpm.ShtsH" hidden="1" xlm="1">#NAME?</definedName>
    <definedName name="_xlpm.su" hidden="1" xlm="1">#NAME?</definedName>
    <definedName name="_xlpm.sum" hidden="1" xlm="1">#NAME?</definedName>
    <definedName name="_xlpm.x" hidden="1" xlm="1">#NAME?</definedName>
    <definedName name="a" localSheetId="1" hidden="1">{"CHARGE",#N/A,FALSE,"401C11"}</definedName>
    <definedName name="a" localSheetId="3" hidden="1">{"CHARGE",#N/A,FALSE,"401C11"}</definedName>
    <definedName name="a" hidden="1">{"CHARGE",#N/A,FALSE,"401C11"}</definedName>
    <definedName name="aa" localSheetId="1" hidden="1">{"CHARGE",#N/A,FALSE,"401C11"}</definedName>
    <definedName name="aa" localSheetId="3" hidden="1">{"CHARGE",#N/A,FALSE,"401C11"}</definedName>
    <definedName name="aa" hidden="1">{"CHARGE",#N/A,FALSE,"401C11"}</definedName>
    <definedName name="aaa" localSheetId="1" hidden="1">{"CHARGE",#N/A,FALSE,"401C11"}</definedName>
    <definedName name="aaa" localSheetId="3" hidden="1">{"CHARGE",#N/A,FALSE,"401C11"}</definedName>
    <definedName name="aaa" hidden="1">{"CHARGE",#N/A,FALSE,"401C11"}</definedName>
    <definedName name="aaaa" localSheetId="1" hidden="1">{"CHARGE",#N/A,FALSE,"401C11"}</definedName>
    <definedName name="aaaa" localSheetId="3" hidden="1">{"CHARGE",#N/A,FALSE,"401C11"}</definedName>
    <definedName name="aaaa" hidden="1">{"CHARGE",#N/A,FALSE,"401C11"}</definedName>
    <definedName name="aaaaaa" localSheetId="1" hidden="1">{"mass bal",#N/A,FALSE,"Standard_mass_bal_template";"ied sheet",#N/A,FALSE,"Standard_mass_bal_template"}</definedName>
    <definedName name="aaaaaa" localSheetId="3" hidden="1">{"mass bal",#N/A,FALSE,"Standard_mass_bal_template";"ied sheet",#N/A,FALSE,"Standard_mass_bal_template"}</definedName>
    <definedName name="aaaaaa" hidden="1">{"mass bal",#N/A,FALSE,"Standard_mass_bal_template";"ied sheet",#N/A,FALSE,"Standard_mass_bal_template"}</definedName>
    <definedName name="aawd" localSheetId="1" hidden="1">{"mass bal",#N/A,FALSE,"Standard_mass_bal_template";"ied sheet",#N/A,FALSE,"Standard_mass_bal_template"}</definedName>
    <definedName name="aawd" localSheetId="3" hidden="1">{"mass bal",#N/A,FALSE,"Standard_mass_bal_template";"ied sheet",#N/A,FALSE,"Standard_mass_bal_template"}</definedName>
    <definedName name="aawd" hidden="1">{"mass bal",#N/A,FALSE,"Standard_mass_bal_template";"ied sheet",#N/A,FALSE,"Standard_mass_bal_template"}</definedName>
    <definedName name="abc" localSheetId="1" hidden="1">{"NET",#N/A,FALSE,"401C11"}</definedName>
    <definedName name="abc" localSheetId="3" hidden="1">{"NET",#N/A,FALSE,"401C11"}</definedName>
    <definedName name="abc" hidden="1">{"NET",#N/A,FALSE,"401C11"}</definedName>
    <definedName name="AccessDatabase" hidden="1">"C:\Budgets\2003\NM and VS BP forecast 2003 NM37 VS197 311002 v1.mdb"</definedName>
    <definedName name="adbr" localSheetId="1" hidden="1">{"CHARGE",#N/A,FALSE,"401C11"}</definedName>
    <definedName name="adbr" localSheetId="3" hidden="1">{"CHARGE",#N/A,FALSE,"401C11"}</definedName>
    <definedName name="adbr" hidden="1">{"CHARGE",#N/A,FALSE,"401C11"}</definedName>
    <definedName name="ADFGDSFG" localSheetId="1" hidden="1">{"mass bal",#N/A,FALSE,"Standard_mass_bal_template";"ied sheet",#N/A,FALSE,"Standard_mass_bal_template"}</definedName>
    <definedName name="ADFGDSFG" localSheetId="3" hidden="1">{"mass bal",#N/A,FALSE,"Standard_mass_bal_template";"ied sheet",#N/A,FALSE,"Standard_mass_bal_template"}</definedName>
    <definedName name="ADFGDSFG" hidden="1">{"mass bal",#N/A,FALSE,"Standard_mass_bal_template";"ied sheet",#N/A,FALSE,"Standard_mass_bal_template"}</definedName>
    <definedName name="ADFGDSFG1" localSheetId="1" hidden="1">{"mass bal",#N/A,FALSE,"Standard_mass_bal_template";"ied sheet",#N/A,FALSE,"Standard_mass_bal_template"}</definedName>
    <definedName name="ADFGDSFG1" localSheetId="3" hidden="1">{"mass bal",#N/A,FALSE,"Standard_mass_bal_template";"ied sheet",#N/A,FALSE,"Standard_mass_bal_template"}</definedName>
    <definedName name="ADFGDSFG1" hidden="1">{"mass bal",#N/A,FALSE,"Standard_mass_bal_template";"ied sheet",#N/A,FALSE,"Standard_mass_bal_template"}</definedName>
    <definedName name="adqwdewf" localSheetId="1" hidden="1">{"mass bal",#N/A,FALSE,"Standard_mass_bal_template";"ied sheet",#N/A,FALSE,"Standard_mass_bal_template"}</definedName>
    <definedName name="adqwdewf" localSheetId="3" hidden="1">{"mass bal",#N/A,FALSE,"Standard_mass_bal_template";"ied sheet",#N/A,FALSE,"Standard_mass_bal_template"}</definedName>
    <definedName name="adqwdewf" hidden="1">{"mass bal",#N/A,FALSE,"Standard_mass_bal_template";"ied sheet",#N/A,FALSE,"Standard_mass_bal_template"}</definedName>
    <definedName name="anscount" hidden="1">1</definedName>
    <definedName name="as" localSheetId="1" hidden="1">{"mass bal",#N/A,FALSE,"Standard_mass_bal_template";"ied sheet",#N/A,FALSE,"Standard_mass_bal_template"}</definedName>
    <definedName name="as" localSheetId="3" hidden="1">{"mass bal",#N/A,FALSE,"Standard_mass_bal_template";"ied sheet",#N/A,FALSE,"Standard_mass_bal_template"}</definedName>
    <definedName name="as" hidden="1">{"mass bal",#N/A,FALSE,"Standard_mass_bal_template";"ied sheet",#N/A,FALSE,"Standard_mass_bal_template"}</definedName>
    <definedName name="AS2DocOpenMode" hidden="1">"AS2DocumentEdit"</definedName>
    <definedName name="asd" localSheetId="1" hidden="1">{"mass bal",#N/A,FALSE,"Standard_mass_bal_template";"ied sheet",#N/A,FALSE,"Standard_mass_bal_template"}</definedName>
    <definedName name="asd" localSheetId="3" hidden="1">{"mass bal",#N/A,FALSE,"Standard_mass_bal_template";"ied sheet",#N/A,FALSE,"Standard_mass_bal_template"}</definedName>
    <definedName name="asd" hidden="1">{"mass bal",#N/A,FALSE,"Standard_mass_bal_template";"ied sheet",#N/A,FALSE,"Standard_mass_bal_template"}</definedName>
    <definedName name="asdasd" localSheetId="1" hidden="1">{"mass bal",#N/A,FALSE,"Standard_mass_bal_template";"ied sheet",#N/A,FALSE,"Standard_mass_bal_template"}</definedName>
    <definedName name="asdasd" localSheetId="3" hidden="1">{"mass bal",#N/A,FALSE,"Standard_mass_bal_template";"ied sheet",#N/A,FALSE,"Standard_mass_bal_template"}</definedName>
    <definedName name="asdasd" hidden="1">{"mass bal",#N/A,FALSE,"Standard_mass_bal_template";"ied sheet",#N/A,FALSE,"Standard_mass_bal_template"}</definedName>
    <definedName name="asdasdadfe" localSheetId="1" hidden="1">{"mass bal",#N/A,FALSE,"Standard_mass_bal_template";"ied sheet",#N/A,FALSE,"Standard_mass_bal_template"}</definedName>
    <definedName name="asdasdadfe" localSheetId="3" hidden="1">{"mass bal",#N/A,FALSE,"Standard_mass_bal_template";"ied sheet",#N/A,FALSE,"Standard_mass_bal_template"}</definedName>
    <definedName name="asdasdadfe" hidden="1">{"mass bal",#N/A,FALSE,"Standard_mass_bal_template";"ied sheet",#N/A,FALSE,"Standard_mass_bal_template"}</definedName>
    <definedName name="ASdddd" localSheetId="1" hidden="1">{"mass bal",#N/A,FALSE,"Standard_mass_bal_template";"ied sheet",#N/A,FALSE,"Standard_mass_bal_template"}</definedName>
    <definedName name="ASdddd" localSheetId="3" hidden="1">{"mass bal",#N/A,FALSE,"Standard_mass_bal_template";"ied sheet",#N/A,FALSE,"Standard_mass_bal_template"}</definedName>
    <definedName name="ASdddd" hidden="1">{"mass bal",#N/A,FALSE,"Standard_mass_bal_template";"ied sheet",#N/A,FALSE,"Standard_mass_bal_template"}</definedName>
    <definedName name="b" localSheetId="1" hidden="1">{"CHARGE",#N/A,FALSE,"401C11"}</definedName>
    <definedName name="b" localSheetId="3" hidden="1">{"CHARGE",#N/A,FALSE,"401C11"}</definedName>
    <definedName name="b" hidden="1">{"CHARGE",#N/A,FALSE,"401C11"}</definedName>
    <definedName name="bcefcref" localSheetId="1" hidden="1">{"mass bal",#N/A,FALSE,"Standard_mass_bal_template";"ied sheet",#N/A,FALSE,"Standard_mass_bal_template"}</definedName>
    <definedName name="bcefcref" localSheetId="3" hidden="1">{"mass bal",#N/A,FALSE,"Standard_mass_bal_template";"ied sheet",#N/A,FALSE,"Standard_mass_bal_template"}</definedName>
    <definedName name="bcefcref" hidden="1">{"mass bal",#N/A,FALSE,"Standard_mass_bal_template";"ied sheet",#N/A,FALSE,"Standard_mass_bal_template"}</definedName>
    <definedName name="BIC_Staging_unloaded" localSheetId="3" xml:space="preserve"> OFFSET(#REF!, 0, 0, COUNTA(#REF!), COUNTA(#REF!))</definedName>
    <definedName name="BIC_Staging_unloaded" xml:space="preserve"> OFFSET(#REF!, 0, 0, COUNTA(#REF!), COUNTA(#REF!))</definedName>
    <definedName name="BMGHIndex" hidden="1">"O"</definedName>
    <definedName name="bnmbmbm" localSheetId="1" hidden="1">{"mass bal",#N/A,FALSE,"Standard_mass_bal_template";"ied sheet",#N/A,FALSE,"Standard_mass_bal_template"}</definedName>
    <definedName name="bnmbmbm" localSheetId="3" hidden="1">{"mass bal",#N/A,FALSE,"Standard_mass_bal_template";"ied sheet",#N/A,FALSE,"Standard_mass_bal_template"}</definedName>
    <definedName name="bnmbmbm" hidden="1">{"mass bal",#N/A,FALSE,"Standard_mass_bal_template";"ied sheet",#N/A,FALSE,"Standard_mass_bal_template"}</definedName>
    <definedName name="bobohe" localSheetId="1" hidden="1">{"mass bal",#N/A,FALSE,"Standard_mass_bal_template";"ied sheet",#N/A,FALSE,"Standard_mass_bal_template"}</definedName>
    <definedName name="bobohe" localSheetId="3" hidden="1">{"mass bal",#N/A,FALSE,"Standard_mass_bal_template";"ied sheet",#N/A,FALSE,"Standard_mass_bal_template"}</definedName>
    <definedName name="bobohe" hidden="1">{"mass bal",#N/A,FALSE,"Standard_mass_bal_template";"ied sheet",#N/A,FALSE,"Standard_mass_bal_template"}</definedName>
    <definedName name="calcs" localSheetId="1" hidden="1">{"mass bal",#N/A,FALSE,"Standard_mass_bal_template";"ied sheet",#N/A,FALSE,"Standard_mass_bal_template"}</definedName>
    <definedName name="calcs" localSheetId="3" hidden="1">{"mass bal",#N/A,FALSE,"Standard_mass_bal_template";"ied sheet",#N/A,FALSE,"Standard_mass_bal_template"}</definedName>
    <definedName name="calcs" hidden="1">{"mass bal",#N/A,FALSE,"Standard_mass_bal_template";"ied sheet",#N/A,FALSE,"Standard_mass_bal_template"}</definedName>
    <definedName name="change1" localSheetId="1" hidden="1">{"CHARGE",#N/A,FALSE,"401C11"}</definedName>
    <definedName name="change1" localSheetId="3" hidden="1">{"CHARGE",#N/A,FALSE,"401C11"}</definedName>
    <definedName name="change1" hidden="1">{"CHARGE",#N/A,FALSE,"401C11"}</definedName>
    <definedName name="charge" localSheetId="1" hidden="1">{"CHARGE",#N/A,FALSE,"401C11"}</definedName>
    <definedName name="charge" localSheetId="3" hidden="1">{"CHARGE",#N/A,FALSE,"401C11"}</definedName>
    <definedName name="charge" hidden="1">{"CHARGE",#N/A,FALSE,"401C11"}</definedName>
    <definedName name="CIQWBGuid" hidden="1">"0f0259b9-6046-41aa-ac9c-7befc2576c88"</definedName>
    <definedName name="da" localSheetId="1" hidden="1">#REF!</definedName>
    <definedName name="da" localSheetId="3" hidden="1">#REF!</definedName>
    <definedName name="da" hidden="1">#REF!</definedName>
    <definedName name="dddzv" localSheetId="1" hidden="1">{#N/A,#N/A,FALSE,"Summary";#N/A,#N/A,FALSE,"Admin";#N/A,#N/A,FALSE,"Medical";#N/A,#N/A,FALSE,"Pharmaco";#N/A,#N/A,FALSE,"Regulatory";#N/A,#N/A,FALSE,"Biometrics";#N/A,#N/A,FALSE,"Med Info";#N/A,#N/A,FALSE,"Proj Man";#N/A,#N/A,FALSE,"Pharm Dev";#N/A,#N/A,FALSE,"QA";#N/A,#N/A,FALSE,"Preclinical"}</definedName>
    <definedName name="dddzv" localSheetId="3" hidden="1">{#N/A,#N/A,FALSE,"Summary";#N/A,#N/A,FALSE,"Admin";#N/A,#N/A,FALSE,"Medical";#N/A,#N/A,FALSE,"Pharmaco";#N/A,#N/A,FALSE,"Regulatory";#N/A,#N/A,FALSE,"Biometrics";#N/A,#N/A,FALSE,"Med Info";#N/A,#N/A,FALSE,"Proj Man";#N/A,#N/A,FALSE,"Pharm Dev";#N/A,#N/A,FALSE,"QA";#N/A,#N/A,FALSE,"Preclinical"}</definedName>
    <definedName name="dddzv" hidden="1">{#N/A,#N/A,FALSE,"Summary";#N/A,#N/A,FALSE,"Admin";#N/A,#N/A,FALSE,"Medical";#N/A,#N/A,FALSE,"Pharmaco";#N/A,#N/A,FALSE,"Regulatory";#N/A,#N/A,FALSE,"Biometrics";#N/A,#N/A,FALSE,"Med Info";#N/A,#N/A,FALSE,"Proj Man";#N/A,#N/A,FALSE,"Pharm Dev";#N/A,#N/A,FALSE,"QA";#N/A,#N/A,FALSE,"Preclinical"}</definedName>
    <definedName name="df" localSheetId="1" hidden="1">{"mass bal",#N/A,FALSE,"Standard_mass_bal_template";"ied sheet",#N/A,FALSE,"Standard_mass_bal_template"}</definedName>
    <definedName name="df" localSheetId="3" hidden="1">{"mass bal",#N/A,FALSE,"Standard_mass_bal_template";"ied sheet",#N/A,FALSE,"Standard_mass_bal_template"}</definedName>
    <definedName name="df" hidden="1">{"mass bal",#N/A,FALSE,"Standard_mass_bal_template";"ied sheet",#N/A,FALSE,"Standard_mass_bal_template"}</definedName>
    <definedName name="dfgdfgd" localSheetId="1" hidden="1">{"mass bal",#N/A,FALSE,"Standard_mass_bal_template";"ied sheet",#N/A,FALSE,"Standard_mass_bal_template"}</definedName>
    <definedName name="dfgdfgd" localSheetId="3" hidden="1">{"mass bal",#N/A,FALSE,"Standard_mass_bal_template";"ied sheet",#N/A,FALSE,"Standard_mass_bal_template"}</definedName>
    <definedName name="dfgdfgd" hidden="1">{"mass bal",#N/A,FALSE,"Standard_mass_bal_template";"ied sheet",#N/A,FALSE,"Standard_mass_bal_template"}</definedName>
    <definedName name="dfgdfgdg" localSheetId="1" hidden="1">{"mass bal",#N/A,FALSE,"Standard_mass_bal_template";"ied sheet",#N/A,FALSE,"Standard_mass_bal_template"}</definedName>
    <definedName name="dfgdfgdg" localSheetId="3" hidden="1">{"mass bal",#N/A,FALSE,"Standard_mass_bal_template";"ied sheet",#N/A,FALSE,"Standard_mass_bal_template"}</definedName>
    <definedName name="dfgdfgdg" hidden="1">{"mass bal",#N/A,FALSE,"Standard_mass_bal_template";"ied sheet",#N/A,FALSE,"Standard_mass_bal_template"}</definedName>
    <definedName name="dfgdfgdgd" localSheetId="1" hidden="1">{"mass bal",#N/A,FALSE,"Standard_mass_bal_template";"ied sheet",#N/A,FALSE,"Standard_mass_bal_template"}</definedName>
    <definedName name="dfgdfgdgd" localSheetId="3" hidden="1">{"mass bal",#N/A,FALSE,"Standard_mass_bal_template";"ied sheet",#N/A,FALSE,"Standard_mass_bal_template"}</definedName>
    <definedName name="dfgdfgdgd" hidden="1">{"mass bal",#N/A,FALSE,"Standard_mass_bal_template";"ied sheet",#N/A,FALSE,"Standard_mass_bal_template"}</definedName>
    <definedName name="dfgdg" localSheetId="1" hidden="1">{"mass bal",#N/A,FALSE,"Standard_mass_bal_template";"ied sheet",#N/A,FALSE,"Standard_mass_bal_template"}</definedName>
    <definedName name="dfgdg" localSheetId="3" hidden="1">{"mass bal",#N/A,FALSE,"Standard_mass_bal_template";"ied sheet",#N/A,FALSE,"Standard_mass_bal_template"}</definedName>
    <definedName name="dfgdg" hidden="1">{"mass bal",#N/A,FALSE,"Standard_mass_bal_template";"ied sheet",#N/A,FALSE,"Standard_mass_bal_template"}</definedName>
    <definedName name="dfgdgdfd" localSheetId="1" hidden="1">{"mass bal",#N/A,FALSE,"Standard_mass_bal_template";"ied sheet",#N/A,FALSE,"Standard_mass_bal_template"}</definedName>
    <definedName name="dfgdgdfd" localSheetId="3" hidden="1">{"mass bal",#N/A,FALSE,"Standard_mass_bal_template";"ied sheet",#N/A,FALSE,"Standard_mass_bal_template"}</definedName>
    <definedName name="dfgdgdfd" hidden="1">{"mass bal",#N/A,FALSE,"Standard_mass_bal_template";"ied sheet",#N/A,FALSE,"Standard_mass_bal_template"}</definedName>
    <definedName name="dfgdgdfgdfg" localSheetId="1" hidden="1">{"mass bal",#N/A,FALSE,"Standard_mass_bal_template";"ied sheet",#N/A,FALSE,"Standard_mass_bal_template"}</definedName>
    <definedName name="dfgdgdfgdfg" localSheetId="3" hidden="1">{"mass bal",#N/A,FALSE,"Standard_mass_bal_template";"ied sheet",#N/A,FALSE,"Standard_mass_bal_template"}</definedName>
    <definedName name="dfgdgdfgdfg" hidden="1">{"mass bal",#N/A,FALSE,"Standard_mass_bal_template";"ied sheet",#N/A,FALSE,"Standard_mass_bal_template"}</definedName>
    <definedName name="dfgdgdfgdg" localSheetId="1" hidden="1">{"mass bal",#N/A,FALSE,"Standard_mass_bal_template";"ied sheet",#N/A,FALSE,"Standard_mass_bal_template"}</definedName>
    <definedName name="dfgdgdfgdg" localSheetId="3" hidden="1">{"mass bal",#N/A,FALSE,"Standard_mass_bal_template";"ied sheet",#N/A,FALSE,"Standard_mass_bal_template"}</definedName>
    <definedName name="dfgdgdfgdg" hidden="1">{"mass bal",#N/A,FALSE,"Standard_mass_bal_template";"ied sheet",#N/A,FALSE,"Standard_mass_bal_template"}</definedName>
    <definedName name="dfgdgdgdfg" localSheetId="1" hidden="1">{"mass bal",#N/A,FALSE,"Standard_mass_bal_template";"ied sheet",#N/A,FALSE,"Standard_mass_bal_template"}</definedName>
    <definedName name="dfgdgdgdfg" localSheetId="3" hidden="1">{"mass bal",#N/A,FALSE,"Standard_mass_bal_template";"ied sheet",#N/A,FALSE,"Standard_mass_bal_template"}</definedName>
    <definedName name="dfgdgdgdfg" hidden="1">{"mass bal",#N/A,FALSE,"Standard_mass_bal_template";"ied sheet",#N/A,FALSE,"Standard_mass_bal_template"}</definedName>
    <definedName name="dgdgddg" localSheetId="1" hidden="1">{"mass bal",#N/A,FALSE,"Standard_mass_bal_template";"ied sheet",#N/A,FALSE,"Standard_mass_bal_template"}</definedName>
    <definedName name="dgdgddg" localSheetId="3" hidden="1">{"mass bal",#N/A,FALSE,"Standard_mass_bal_template";"ied sheet",#N/A,FALSE,"Standard_mass_bal_template"}</definedName>
    <definedName name="dgdgddg" hidden="1">{"mass bal",#N/A,FALSE,"Standard_mass_bal_template";"ied sheet",#N/A,FALSE,"Standard_mass_bal_template"}</definedName>
    <definedName name="dgdgdfgdfgdgdg" localSheetId="1" hidden="1">{"mass bal",#N/A,FALSE,"Standard_mass_bal_template";"ied sheet",#N/A,FALSE,"Standard_mass_bal_template"}</definedName>
    <definedName name="dgdgdfgdfgdgdg" localSheetId="3" hidden="1">{"mass bal",#N/A,FALSE,"Standard_mass_bal_template";"ied sheet",#N/A,FALSE,"Standard_mass_bal_template"}</definedName>
    <definedName name="dgdgdfgdfgdgdg" hidden="1">{"mass bal",#N/A,FALSE,"Standard_mass_bal_template";"ied sheet",#N/A,FALSE,"Standard_mass_bal_template"}</definedName>
    <definedName name="dog" localSheetId="1" hidden="1">{"NET",#N/A,FALSE,"401C11"}</definedName>
    <definedName name="dog" localSheetId="3" hidden="1">{"NET",#N/A,FALSE,"401C11"}</definedName>
    <definedName name="dog" hidden="1">{"NET",#N/A,FALSE,"401C11"}</definedName>
    <definedName name="dsad" localSheetId="1" hidden="1">{"mass bal",#N/A,FALSE,"Standard_mass_bal_template";"ied sheet",#N/A,FALSE,"Standard_mass_bal_template"}</definedName>
    <definedName name="dsad" localSheetId="3" hidden="1">{"mass bal",#N/A,FALSE,"Standard_mass_bal_template";"ied sheet",#N/A,FALSE,"Standard_mass_bal_template"}</definedName>
    <definedName name="dsad" hidden="1">{"mass bal",#N/A,FALSE,"Standard_mass_bal_template";"ied sheet",#N/A,FALSE,"Standard_mass_bal_template"}</definedName>
    <definedName name="dsfds" localSheetId="1" hidden="1">{"mass bal",#N/A,FALSE,"Standard_mass_bal_template";"ied sheet",#N/A,FALSE,"Standard_mass_bal_template"}</definedName>
    <definedName name="dsfds" localSheetId="3" hidden="1">{"mass bal",#N/A,FALSE,"Standard_mass_bal_template";"ied sheet",#N/A,FALSE,"Standard_mass_bal_template"}</definedName>
    <definedName name="dsfds" hidden="1">{"mass bal",#N/A,FALSE,"Standard_mass_bal_template";"ied sheet",#N/A,FALSE,"Standard_mass_bal_template"}</definedName>
    <definedName name="er" localSheetId="1" hidden="1">{"mass bal",#N/A,FALSE,"Standard_mass_bal_template";"ied sheet",#N/A,FALSE,"Standard_mass_bal_template"}</definedName>
    <definedName name="er" localSheetId="3" hidden="1">{"mass bal",#N/A,FALSE,"Standard_mass_bal_template";"ied sheet",#N/A,FALSE,"Standard_mass_bal_template"}</definedName>
    <definedName name="er" hidden="1">{"mass bal",#N/A,FALSE,"Standard_mass_bal_template";"ied sheet",#N/A,FALSE,"Standard_mass_bal_template"}</definedName>
    <definedName name="ERTERT" localSheetId="1" hidden="1">{"mass bal",#N/A,FALSE,"Standard_mass_bal_template";"ied sheet",#N/A,FALSE,"Standard_mass_bal_template"}</definedName>
    <definedName name="ERTERT" localSheetId="3" hidden="1">{"mass bal",#N/A,FALSE,"Standard_mass_bal_template";"ied sheet",#N/A,FALSE,"Standard_mass_bal_template"}</definedName>
    <definedName name="ERTERT" hidden="1">{"mass bal",#N/A,FALSE,"Standard_mass_bal_template";"ied sheet",#N/A,FALSE,"Standard_mass_bal_template"}</definedName>
    <definedName name="ERTERTERT" localSheetId="1" hidden="1">{"mass bal",#N/A,FALSE,"Standard_mass_bal_template";"ied sheet",#N/A,FALSE,"Standard_mass_bal_template"}</definedName>
    <definedName name="ERTERTERT" localSheetId="3" hidden="1">{"mass bal",#N/A,FALSE,"Standard_mass_bal_template";"ied sheet",#N/A,FALSE,"Standard_mass_bal_template"}</definedName>
    <definedName name="ERTERTERT" hidden="1">{"mass bal",#N/A,FALSE,"Standard_mass_bal_template";"ied sheet",#N/A,FALSE,"Standard_mass_bal_template"}</definedName>
    <definedName name="EV__LASTREFTIME__" hidden="1">40339.4799074074</definedName>
    <definedName name="Expired" hidden="1">FALSE</definedName>
    <definedName name="F" localSheetId="1" hidden="1">{"bal",#N/A,FALSE,"working papers";"income",#N/A,FALSE,"working papers"}</definedName>
    <definedName name="F" localSheetId="3" hidden="1">{"bal",#N/A,FALSE,"working papers";"income",#N/A,FALSE,"working papers"}</definedName>
    <definedName name="F">{"bal",#N/A,FALSE,"working papers";"income",#N/A,FALSE,"working papers"}</definedName>
    <definedName name="fdraf" localSheetId="1" hidden="1">{"bal",#N/A,FALSE,"working papers";"income",#N/A,FALSE,"working papers"}</definedName>
    <definedName name="fdraf" localSheetId="3" hidden="1">{"bal",#N/A,FALSE,"working papers";"income",#N/A,FALSE,"working papers"}</definedName>
    <definedName name="fdraf">{"bal",#N/A,FALSE,"working papers";"income",#N/A,FALSE,"working papers"}</definedName>
    <definedName name="Fdraft" localSheetId="1" hidden="1">{"bal",#N/A,FALSE,"working papers";"income",#N/A,FALSE,"working papers"}</definedName>
    <definedName name="Fdraft" localSheetId="3" hidden="1">{"bal",#N/A,FALSE,"working papers";"income",#N/A,FALSE,"working papers"}</definedName>
    <definedName name="Fdraft">{"bal",#N/A,FALSE,"working papers";"income",#N/A,FALSE,"working papers"}</definedName>
    <definedName name="fgdgdfgfdgfdg" localSheetId="1" hidden="1">{"mass bal",#N/A,FALSE,"Standard_mass_bal_template";"ied sheet",#N/A,FALSE,"Standard_mass_bal_template"}</definedName>
    <definedName name="fgdgdfgfdgfdg" localSheetId="3" hidden="1">{"mass bal",#N/A,FALSE,"Standard_mass_bal_template";"ied sheet",#N/A,FALSE,"Standard_mass_bal_template"}</definedName>
    <definedName name="fgdgdfgfdgfdg" hidden="1">{"mass bal",#N/A,FALSE,"Standard_mass_bal_template";"ied sheet",#N/A,FALSE,"Standard_mass_bal_template"}</definedName>
    <definedName name="fh" localSheetId="1" hidden="1">{"mass bal",#N/A,FALSE,"Standard_mass_bal_template";"ied sheet",#N/A,FALSE,"Standard_mass_bal_template"}</definedName>
    <definedName name="fh" localSheetId="3" hidden="1">{"mass bal",#N/A,FALSE,"Standard_mass_bal_template";"ied sheet",#N/A,FALSE,"Standard_mass_bal_template"}</definedName>
    <definedName name="fh" hidden="1">{"mass bal",#N/A,FALSE,"Standard_mass_bal_template";"ied sheet",#N/A,FALSE,"Standard_mass_bal_template"}</definedName>
    <definedName name="Foutput" localSheetId="1" hidden="1">#REF!</definedName>
    <definedName name="Foutput" localSheetId="3" hidden="1">#REF!</definedName>
    <definedName name="Foutput" hidden="1">#REF!</definedName>
    <definedName name="fsdfffd" localSheetId="1" hidden="1">#REF!</definedName>
    <definedName name="fsdfffd" localSheetId="3" hidden="1">#REF!</definedName>
    <definedName name="fsdfffd" hidden="1">#REF!</definedName>
    <definedName name="fsdfsd" localSheetId="1" hidden="1">#REF!</definedName>
    <definedName name="fsdfsd" localSheetId="3" hidden="1">#REF!</definedName>
    <definedName name="fsdfsd" hidden="1">#REF!</definedName>
    <definedName name="fsfds" localSheetId="1" hidden="1">#REF!</definedName>
    <definedName name="fsfds" localSheetId="3" hidden="1">#REF!</definedName>
    <definedName name="fsfds" hidden="1">#REF!</definedName>
    <definedName name="fsfsd" localSheetId="1" hidden="1">#REF!</definedName>
    <definedName name="fsfsd" localSheetId="3" hidden="1">#REF!</definedName>
    <definedName name="fsfsd" hidden="1">#REF!</definedName>
    <definedName name="gegefgef" localSheetId="1" hidden="1">{"mass bal",#N/A,FALSE,"Standard_mass_bal_template";"ied sheet",#N/A,FALSE,"Standard_mass_bal_template"}</definedName>
    <definedName name="gegefgef" localSheetId="3" hidden="1">{"mass bal",#N/A,FALSE,"Standard_mass_bal_template";"ied sheet",#N/A,FALSE,"Standard_mass_bal_template"}</definedName>
    <definedName name="gegefgef" hidden="1">{"mass bal",#N/A,FALSE,"Standard_mass_bal_template";"ied sheet",#N/A,FALSE,"Standard_mass_bal_template"}</definedName>
    <definedName name="gegefgeh" localSheetId="1" hidden="1">{"mass bal",#N/A,FALSE,"Standard_mass_bal_template";"ied sheet",#N/A,FALSE,"Standard_mass_bal_template"}</definedName>
    <definedName name="gegefgeh" localSheetId="3" hidden="1">{"mass bal",#N/A,FALSE,"Standard_mass_bal_template";"ied sheet",#N/A,FALSE,"Standard_mass_bal_template"}</definedName>
    <definedName name="gegefgeh" hidden="1">{"mass bal",#N/A,FALSE,"Standard_mass_bal_template";"ied sheet",#N/A,FALSE,"Standard_mass_bal_template"}</definedName>
    <definedName name="gfff" localSheetId="1" hidden="1">{"CHARGE",#N/A,FALSE,"401C11"}</definedName>
    <definedName name="gfff" localSheetId="3" hidden="1">{"CHARGE",#N/A,FALSE,"401C11"}</definedName>
    <definedName name="gfff" hidden="1">{"CHARGE",#N/A,FALSE,"401C11"}</definedName>
    <definedName name="gg" localSheetId="1" hidden="1">{"mass bal",#N/A,FALSE,"Standard_mass_bal_template";"ied sheet",#N/A,FALSE,"Standard_mass_bal_template"}</definedName>
    <definedName name="gg" localSheetId="3" hidden="1">{"mass bal",#N/A,FALSE,"Standard_mass_bal_template";"ied sheet",#N/A,FALSE,"Standard_mass_bal_template"}</definedName>
    <definedName name="gg" hidden="1">{"mass bal",#N/A,FALSE,"Standard_mass_bal_template";"ied sheet",#N/A,FALSE,"Standard_mass_bal_template"}</definedName>
    <definedName name="gh" localSheetId="1" hidden="1">{"mass bal",#N/A,FALSE,"Standard_mass_bal_template";"ied sheet",#N/A,FALSE,"Standard_mass_bal_template"}</definedName>
    <definedName name="gh" localSheetId="3" hidden="1">{"mass bal",#N/A,FALSE,"Standard_mass_bal_template";"ied sheet",#N/A,FALSE,"Standard_mass_bal_template"}</definedName>
    <definedName name="gh" hidden="1">{"mass bal",#N/A,FALSE,"Standard_mass_bal_template";"ied sheet",#N/A,FALSE,"Standard_mass_bal_template"}</definedName>
    <definedName name="gkgkjg" localSheetId="1" hidden="1">{"mass bal",#N/A,FALSE,"Standard_mass_bal_template";"ied sheet",#N/A,FALSE,"Standard_mass_bal_template"}</definedName>
    <definedName name="gkgkjg" localSheetId="3" hidden="1">{"mass bal",#N/A,FALSE,"Standard_mass_bal_template";"ied sheet",#N/A,FALSE,"Standard_mass_bal_template"}</definedName>
    <definedName name="gkgkjg" hidden="1">{"mass bal",#N/A,FALSE,"Standard_mass_bal_template";"ied sheet",#N/A,FALSE,"Standard_mass_bal_template"}</definedName>
    <definedName name="gross" localSheetId="1" hidden="1">{"GROSS",#N/A,FALSE,"401C11"}</definedName>
    <definedName name="gross" localSheetId="3" hidden="1">{"GROSS",#N/A,FALSE,"401C11"}</definedName>
    <definedName name="gross" hidden="1">{"GROSS",#N/A,FALSE,"401C11"}</definedName>
    <definedName name="gross1" localSheetId="1" hidden="1">{"GROSS",#N/A,FALSE,"401C11"}</definedName>
    <definedName name="gross1" localSheetId="3" hidden="1">{"GROSS",#N/A,FALSE,"401C11"}</definedName>
    <definedName name="gross1" hidden="1">{"GROSS",#N/A,FALSE,"401C11"}</definedName>
    <definedName name="grtg" localSheetId="1" hidden="1">{"mass bal",#N/A,FALSE,"Standard_mass_bal_template";"ied sheet",#N/A,FALSE,"Standard_mass_bal_template"}</definedName>
    <definedName name="grtg" localSheetId="3" hidden="1">{"mass bal",#N/A,FALSE,"Standard_mass_bal_template";"ied sheet",#N/A,FALSE,"Standard_mass_bal_template"}</definedName>
    <definedName name="grtg" hidden="1">{"mass bal",#N/A,FALSE,"Standard_mass_bal_template";"ied sheet",#N/A,FALSE,"Standard_mass_bal_template"}</definedName>
    <definedName name="h" localSheetId="1" hidden="1">{"mass bal",#N/A,FALSE,"Standard_mass_bal_template";"ied sheet",#N/A,FALSE,"Standard_mass_bal_template"}</definedName>
    <definedName name="h" localSheetId="3" hidden="1">{"mass bal",#N/A,FALSE,"Standard_mass_bal_template";"ied sheet",#N/A,FALSE,"Standard_mass_bal_template"}</definedName>
    <definedName name="h" hidden="1">{"mass bal",#N/A,FALSE,"Standard_mass_bal_template";"ied sheet",#N/A,FALSE,"Standard_mass_bal_template"}</definedName>
    <definedName name="hahaha" localSheetId="1" hidden="1">{"mass bal",#N/A,FALSE,"Standard_mass_bal_template";"ied sheet",#N/A,FALSE,"Standard_mass_bal_template"}</definedName>
    <definedName name="hahaha" localSheetId="3" hidden="1">{"mass bal",#N/A,FALSE,"Standard_mass_bal_template";"ied sheet",#N/A,FALSE,"Standard_mass_bal_template"}</definedName>
    <definedName name="hahaha" hidden="1">{"mass bal",#N/A,FALSE,"Standard_mass_bal_template";"ied sheet",#N/A,FALSE,"Standard_mass_bal_template"}</definedName>
    <definedName name="hasdfjklhklj" localSheetId="1" hidden="1">{"NET",#N/A,FALSE,"401C11"}</definedName>
    <definedName name="hasdfjklhklj" localSheetId="3" hidden="1">{"NET",#N/A,FALSE,"401C11"}</definedName>
    <definedName name="hasdfjklhklj" hidden="1">{"NET",#N/A,FALSE,"401C11"}</definedName>
    <definedName name="help" localSheetId="1" hidden="1">{"CHARGE",#N/A,FALSE,"401C11"}</definedName>
    <definedName name="help" localSheetId="3" hidden="1">{"CHARGE",#N/A,FALSE,"401C11"}</definedName>
    <definedName name="help" hidden="1">{"CHARGE",#N/A,FALSE,"401C11"}</definedName>
    <definedName name="hfhfghfg" localSheetId="1" hidden="1">{"mass bal",#N/A,FALSE,"Standard_mass_bal_template";"ied sheet",#N/A,FALSE,"Standard_mass_bal_template"}</definedName>
    <definedName name="hfhfghfg" localSheetId="3" hidden="1">{"mass bal",#N/A,FALSE,"Standard_mass_bal_template";"ied sheet",#N/A,FALSE,"Standard_mass_bal_template"}</definedName>
    <definedName name="hfhfghfg" hidden="1">{"mass bal",#N/A,FALSE,"Standard_mass_bal_template";"ied sheet",#N/A,FALSE,"Standard_mass_bal_template"}</definedName>
    <definedName name="hghghhj" localSheetId="1" hidden="1">{"CHARGE",#N/A,FALSE,"401C11"}</definedName>
    <definedName name="hghghhj" localSheetId="3" hidden="1">{"CHARGE",#N/A,FALSE,"401C11"}</definedName>
    <definedName name="hghghhj" hidden="1">{"CHARGE",#N/A,FALSE,"401C11"}</definedName>
    <definedName name="HTML_CodePage" hidden="1">1252</definedName>
    <definedName name="HTML_Control" localSheetId="1" hidden="1">{"'Trust by name'!$A$6:$E$350","'Trust by name'!$A$1:$D$348"}</definedName>
    <definedName name="HTML_Control" localSheetId="3" hidden="1">{"'Trust by name'!$A$6:$E$350","'Trust by name'!$A$1:$D$348"}</definedName>
    <definedName name="HTML_Control" hidden="1">{"'Trust by name'!$A$6:$E$350","'Trust by name'!$A$1:$D$348"}</definedName>
    <definedName name="HTML_Description" hidden="1">""</definedName>
    <definedName name="HTML_Email" hidden="1">""</definedName>
    <definedName name="HTML_Header" hidden="1">"Trust by name"</definedName>
    <definedName name="HTML_LastUpdate" hidden="1">"22/03/2001"</definedName>
    <definedName name="HTML_LineAfter" hidden="1">FALSE</definedName>
    <definedName name="HTML_LineBefore" hidden="1">FALSE</definedName>
    <definedName name="HTML_Name" hidden="1">"OISIII"</definedName>
    <definedName name="HTML_OBDlg2" hidden="1">TRUE</definedName>
    <definedName name="HTML_OBDlg4" hidden="1">TRUE</definedName>
    <definedName name="HTML_OS" hidden="1">0</definedName>
    <definedName name="HTML_PathFile" hidden="1">"G:\ACTIVITY\HELP\DTPANIC\2001-02\MyHTML.htm"</definedName>
    <definedName name="HTML_Title" hidden="1">"Section 1"</definedName>
    <definedName name="ii" localSheetId="1" hidden="1">{"mass bal",#N/A,FALSE,"Standard_mass_bal_template";"ied sheet",#N/A,FALSE,"Standard_mass_bal_template"}</definedName>
    <definedName name="ii" localSheetId="3" hidden="1">{"mass bal",#N/A,FALSE,"Standard_mass_bal_template";"ied sheet",#N/A,FALSE,"Standard_mass_bal_template"}</definedName>
    <definedName name="ii" hidden="1">{"mass bal",#N/A,FALSE,"Standard_mass_bal_template";"ied sheet",#N/A,FALSE,"Standard_mass_bal_template"}</definedName>
    <definedName name="Input0" localSheetId="3">#REF!,#REF!,#REF!,#REF!,#REF!,#REF!,#REF!,#REF!,#REF!,#REF!,#REF!,#REF!,#REF!,#REF!,#REF!,#REF!</definedName>
    <definedName name="Input0">#REF!,#REF!,#REF!,#REF!,#REF!,#REF!,#REF!,#REF!,#REF!,#REF!,#REF!,#REF!,#REF!,#REF!,#REF!,#REF!</definedName>
    <definedName name="io" localSheetId="1" hidden="1">{"mass bal",#N/A,FALSE,"Standard_mass_bal_template";"ied sheet",#N/A,FALSE,"Standard_mass_bal_template"}</definedName>
    <definedName name="io" localSheetId="3" hidden="1">{"mass bal",#N/A,FALSE,"Standard_mass_bal_template";"ied sheet",#N/A,FALSE,"Standard_mass_bal_template"}</definedName>
    <definedName name="io" hidden="1">{"mass bal",#N/A,FALSE,"Standard_mass_bal_template";"ied sheet",#N/A,FALSE,"Standard_mass_bal_template"}</definedName>
    <definedName name="IQ_CH">110000</definedName>
    <definedName name="IQ_CQ">5000</definedName>
    <definedName name="IQ_CY">10000</definedName>
    <definedName name="IQ_DAILY">500000</definedName>
    <definedName name="IQ_DNTM">700000</definedName>
    <definedName name="IQ_EXPENSE_CODE_">80019595006</definedName>
    <definedName name="IQ_FH">100000</definedName>
    <definedName name="IQ_FQ">500</definedName>
    <definedName name="IQ_FWD_CY">10001</definedName>
    <definedName name="IQ_FWD_CY1">10002</definedName>
    <definedName name="IQ_FWD_CY2">10003</definedName>
    <definedName name="IQ_FWD_FY">1001</definedName>
    <definedName name="IQ_FWD_FY1">1002</definedName>
    <definedName name="IQ_FWD_FY2">1003</definedName>
    <definedName name="IQ_FWD_Q">501</definedName>
    <definedName name="IQ_FWD_Q1">502</definedName>
    <definedName name="IQ_FWD_Q2">503</definedName>
    <definedName name="IQ_FY">1000</definedName>
    <definedName name="IQ_LATESTK">1000</definedName>
    <definedName name="IQ_LATESTQ">500</definedName>
    <definedName name="IQ_LTM">2000</definedName>
    <definedName name="IQ_LTMMONTH">120000</definedName>
    <definedName name="IQ_MONTH">15000</definedName>
    <definedName name="IQ_MTD">800000</definedName>
    <definedName name="IQ_NAMES_REVISION_DATE_">41366.3748958333</definedName>
    <definedName name="IQ_NTM">6000</definedName>
    <definedName name="IQ_QTD">750000</definedName>
    <definedName name="IQ_TODAY">0</definedName>
    <definedName name="IQ_WEEK">50000</definedName>
    <definedName name="IQ_YTD">3000</definedName>
    <definedName name="IQ_YTDMONTH">130000</definedName>
    <definedName name="IUOU" localSheetId="1" hidden="1">{"mass bal",#N/A,FALSE,"Standard_mass_bal_template";"ied sheet",#N/A,FALSE,"Standard_mass_bal_template"}</definedName>
    <definedName name="IUOU" localSheetId="3" hidden="1">{"mass bal",#N/A,FALSE,"Standard_mass_bal_template";"ied sheet",#N/A,FALSE,"Standard_mass_bal_template"}</definedName>
    <definedName name="IUOU" hidden="1">{"mass bal",#N/A,FALSE,"Standard_mass_bal_template";"ied sheet",#N/A,FALSE,"Standard_mass_bal_template"}</definedName>
    <definedName name="JFELL" localSheetId="1" hidden="1">#REF!</definedName>
    <definedName name="JFELL" localSheetId="3" hidden="1">#REF!</definedName>
    <definedName name="JFELL" hidden="1">#REF!</definedName>
    <definedName name="jgfj" localSheetId="1" hidden="1">{"mass bal",#N/A,FALSE,"Standard_mass_bal_template";"ied sheet",#N/A,FALSE,"Standard_mass_bal_template"}</definedName>
    <definedName name="jgfj" localSheetId="3" hidden="1">{"mass bal",#N/A,FALSE,"Standard_mass_bal_template";"ied sheet",#N/A,FALSE,"Standard_mass_bal_template"}</definedName>
    <definedName name="jgfj" hidden="1">{"mass bal",#N/A,FALSE,"Standard_mass_bal_template";"ied sheet",#N/A,FALSE,"Standard_mass_bal_template"}</definedName>
    <definedName name="jj" localSheetId="1" hidden="1">{"mass bal",#N/A,FALSE,"Standard_mass_bal_template";"ied sheet",#N/A,FALSE,"Standard_mass_bal_template"}</definedName>
    <definedName name="jj" localSheetId="3" hidden="1">{"mass bal",#N/A,FALSE,"Standard_mass_bal_template";"ied sheet",#N/A,FALSE,"Standard_mass_bal_template"}</definedName>
    <definedName name="jj" hidden="1">{"mass bal",#N/A,FALSE,"Standard_mass_bal_template";"ied sheet",#N/A,FALSE,"Standard_mass_bal_template"}</definedName>
    <definedName name="kj" localSheetId="1" hidden="1">{"mass bal",#N/A,FALSE,"Standard_mass_bal_template";"ied sheet",#N/A,FALSE,"Standard_mass_bal_template"}</definedName>
    <definedName name="kj" localSheetId="3" hidden="1">{"mass bal",#N/A,FALSE,"Standard_mass_bal_template";"ied sheet",#N/A,FALSE,"Standard_mass_bal_template"}</definedName>
    <definedName name="kj" hidden="1">{"mass bal",#N/A,FALSE,"Standard_mass_bal_template";"ied sheet",#N/A,FALSE,"Standard_mass_bal_template"}</definedName>
    <definedName name="kk" localSheetId="1" hidden="1">{"mass bal",#N/A,FALSE,"Standard_mass_bal_template";"ied sheet",#N/A,FALSE,"Standard_mass_bal_template"}</definedName>
    <definedName name="kk" localSheetId="3" hidden="1">{"mass bal",#N/A,FALSE,"Standard_mass_bal_template";"ied sheet",#N/A,FALSE,"Standard_mass_bal_template"}</definedName>
    <definedName name="kk" hidden="1">{"mass bal",#N/A,FALSE,"Standard_mass_bal_template";"ied sheet",#N/A,FALSE,"Standard_mass_bal_template"}</definedName>
    <definedName name="limcount" hidden="1">1</definedName>
    <definedName name="ListOffset" hidden="1">1</definedName>
    <definedName name="Mass._b_ful." localSheetId="1" hidden="1">{"mass bal",#N/A,FALSE,"Standard_mass_bal_template";"ied sheet",#N/A,FALSE,"Standard_mass_bal_template"}</definedName>
    <definedName name="Mass._b_ful." localSheetId="3" hidden="1">{"mass bal",#N/A,FALSE,"Standard_mass_bal_template";"ied sheet",#N/A,FALSE,"Standard_mass_bal_template"}</definedName>
    <definedName name="Mass._b_ful." hidden="1">{"mass bal",#N/A,FALSE,"Standard_mass_bal_template";"ied sheet",#N/A,FALSE,"Standard_mass_bal_template"}</definedName>
    <definedName name="name2" localSheetId="1" hidden="1">{"mass bal",#N/A,FALSE,"Standard_mass_bal_template";"ied sheet",#N/A,FALSE,"Standard_mass_bal_template"}</definedName>
    <definedName name="name2" localSheetId="3" hidden="1">{"mass bal",#N/A,FALSE,"Standard_mass_bal_template";"ied sheet",#N/A,FALSE,"Standard_mass_bal_template"}</definedName>
    <definedName name="name2" hidden="1">{"mass bal",#N/A,FALSE,"Standard_mass_bal_template";"ied sheet",#N/A,FALSE,"Standard_mass_bal_template"}</definedName>
    <definedName name="namechange" localSheetId="1" hidden="1">{"mass bal",#N/A,FALSE,"Standard_mass_bal_template";"ied sheet",#N/A,FALSE,"Standard_mass_bal_template"}</definedName>
    <definedName name="namechange" localSheetId="3" hidden="1">{"mass bal",#N/A,FALSE,"Standard_mass_bal_template";"ied sheet",#N/A,FALSE,"Standard_mass_bal_template"}</definedName>
    <definedName name="namechange" hidden="1">{"mass bal",#N/A,FALSE,"Standard_mass_bal_template";"ied sheet",#N/A,FALSE,"Standard_mass_bal_template"}</definedName>
    <definedName name="New" localSheetId="1" hidden="1">#REF!</definedName>
    <definedName name="new" localSheetId="0" hidden="1">{"bal",#N/A,FALSE,"working papers";"income",#N/A,FALSE,"working papers"}</definedName>
    <definedName name="New" localSheetId="3" hidden="1">#REF!</definedName>
    <definedName name="new" hidden="1">{"bal",#N/A,FALSE,"working papers";"income",#N/A,FALSE,"working papers"}</definedName>
    <definedName name="nmbm" localSheetId="1" hidden="1">{"mass bal",#N/A,FALSE,"Standard_mass_bal_template";"ied sheet",#N/A,FALSE,"Standard_mass_bal_template"}</definedName>
    <definedName name="nmbm" localSheetId="3" hidden="1">{"mass bal",#N/A,FALSE,"Standard_mass_bal_template";"ied sheet",#N/A,FALSE,"Standard_mass_bal_template"}</definedName>
    <definedName name="nmbm" hidden="1">{"mass bal",#N/A,FALSE,"Standard_mass_bal_template";"ied sheet",#N/A,FALSE,"Standard_mass_bal_template"}</definedName>
    <definedName name="NvsASD">"V2006-03-22"</definedName>
    <definedName name="NvsAutoDrillOk">"VN"</definedName>
    <definedName name="NvsElapsedTime">0.0345248842568253</definedName>
    <definedName name="NvsEndTime">38812.6159520833</definedName>
    <definedName name="NvsInstSpec">"%,FTW_CC,TCOSTCENTRE_ROLLUP,NALL VALUES"</definedName>
    <definedName name="NvsLayoutType">"M3"</definedName>
    <definedName name="NvsPanelEffdt">"V2003-06-20"</definedName>
    <definedName name="NvsPanelSetid">"VTWA"</definedName>
    <definedName name="NvsReqBU">"VGL002"</definedName>
    <definedName name="NvsReqBUOnly">"VY"</definedName>
    <definedName name="NvsTransLed">"VN"</definedName>
    <definedName name="NvsTreeASD">"V2006-03-22"</definedName>
    <definedName name="NvsValTbl.BUSINESS_UNIT">"BUS_UNIT_TBL_GL"</definedName>
    <definedName name="OISIII" localSheetId="1" hidden="1">#REF!</definedName>
    <definedName name="OISIII" localSheetId="3" hidden="1">#REF!</definedName>
    <definedName name="OISIII" hidden="1">#REF!</definedName>
    <definedName name="oo" localSheetId="1" hidden="1">{"mass bal",#N/A,FALSE,"Standard_mass_bal_template";"ied sheet",#N/A,FALSE,"Standard_mass_bal_template"}</definedName>
    <definedName name="oo" localSheetId="3" hidden="1">{"mass bal",#N/A,FALSE,"Standard_mass_bal_template";"ied sheet",#N/A,FALSE,"Standard_mass_bal_template"}</definedName>
    <definedName name="oo" hidden="1">{"mass bal",#N/A,FALSE,"Standard_mass_bal_template";"ied sheet",#N/A,FALSE,"Standard_mass_bal_template"}</definedName>
    <definedName name="OpexInputs">"Input!$T$2:$AF$2"</definedName>
    <definedName name="po" localSheetId="1" hidden="1">{"mass bal",#N/A,FALSE,"Standard_mass_bal_template";"ied sheet",#N/A,FALSE,"Standard_mass_bal_template"}</definedName>
    <definedName name="po" localSheetId="3" hidden="1">{"mass bal",#N/A,FALSE,"Standard_mass_bal_template";"ied sheet",#N/A,FALSE,"Standard_mass_bal_template"}</definedName>
    <definedName name="po" hidden="1">{"mass bal",#N/A,FALSE,"Standard_mass_bal_template";"ied sheet",#N/A,FALSE,"Standard_mass_bal_template"}</definedName>
    <definedName name="pp" localSheetId="1" hidden="1">{"mass bal",#N/A,FALSE,"Standard_mass_bal_template";"ied sheet",#N/A,FALSE,"Standard_mass_bal_template"}</definedName>
    <definedName name="pp" localSheetId="3" hidden="1">{"mass bal",#N/A,FALSE,"Standard_mass_bal_template";"ied sheet",#N/A,FALSE,"Standard_mass_bal_template"}</definedName>
    <definedName name="pp" hidden="1">{"mass bal",#N/A,FALSE,"Standard_mass_bal_template";"ied sheet",#N/A,FALSE,"Standard_mass_bal_template"}</definedName>
    <definedName name="qfx" localSheetId="1" hidden="1">{"NET",#N/A,FALSE,"401C11"}</definedName>
    <definedName name="qfx" localSheetId="3" hidden="1">{"NET",#N/A,FALSE,"401C11"}</definedName>
    <definedName name="qfx" hidden="1">{"NET",#N/A,FALSE,"401C11"}</definedName>
    <definedName name="qq" localSheetId="1" hidden="1">{"mass bal",#N/A,FALSE,"Standard_mass_bal_template";"ied sheet",#N/A,FALSE,"Standard_mass_bal_template"}</definedName>
    <definedName name="qq" localSheetId="3" hidden="1">{"mass bal",#N/A,FALSE,"Standard_mass_bal_template";"ied sheet",#N/A,FALSE,"Standard_mass_bal_template"}</definedName>
    <definedName name="qq" hidden="1">{"mass bal",#N/A,FALSE,"Standard_mass_bal_template";"ied sheet",#N/A,FALSE,"Standard_mass_bal_template"}</definedName>
    <definedName name="qqfxlBookCalcMode" hidden="1">-4105</definedName>
    <definedName name="qqfxlCalcReset" hidden="1">FALSE</definedName>
    <definedName name="qqfxlCalculateOnOpen" hidden="1">FALSE</definedName>
    <definedName name="qqfxlFullBoth" hidden="1">TRUE</definedName>
    <definedName name="qqfxlManualBoth" hidden="1">FALSE</definedName>
    <definedName name="qqfxlSheetsBoth" hidden="1">TRUE</definedName>
    <definedName name="qwefqefa" localSheetId="1" hidden="1">#REF!</definedName>
    <definedName name="qwefqefa" hidden="1">#REF!</definedName>
    <definedName name="qxqx" localSheetId="1" hidden="1">{"mass bal",#N/A,FALSE,"Standard_mass_bal_template";"ied sheet",#N/A,FALSE,"Standard_mass_bal_template"}</definedName>
    <definedName name="qxqx" localSheetId="3" hidden="1">{"mass bal",#N/A,FALSE,"Standard_mass_bal_template";"ied sheet",#N/A,FALSE,"Standard_mass_bal_template"}</definedName>
    <definedName name="qxqx" hidden="1">{"mass bal",#N/A,FALSE,"Standard_mass_bal_template";"ied sheet",#N/A,FALSE,"Standard_mass_bal_template"}</definedName>
    <definedName name="real" localSheetId="1" hidden="1">#REF!</definedName>
    <definedName name="real" localSheetId="3" hidden="1">#REF!</definedName>
    <definedName name="real" hidden="1">#REF!</definedName>
    <definedName name="regre" localSheetId="1" hidden="1">{"mass bal",#N/A,FALSE,"Standard_mass_bal_template";"ied sheet",#N/A,FALSE,"Standard_mass_bal_template"}</definedName>
    <definedName name="regre" localSheetId="3" hidden="1">{"mass bal",#N/A,FALSE,"Standard_mass_bal_template";"ied sheet",#N/A,FALSE,"Standard_mass_bal_template"}</definedName>
    <definedName name="regre" hidden="1">{"mass bal",#N/A,FALSE,"Standard_mass_bal_template";"ied sheet",#N/A,FALSE,"Standard_mass_bal_template"}</definedName>
    <definedName name="RiskAfterRecalcMacro">""</definedName>
    <definedName name="RiskAfterSimMacro">""</definedName>
    <definedName name="RiskAutoStopPercChange">1.5</definedName>
    <definedName name="RiskBeforeRecalcMacro">""</definedName>
    <definedName name="RiskBeforeSimMacro">""</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 localSheetId="1" hidden="1">7</definedName>
    <definedName name="RiskHasSettings" localSheetId="3" hidden="1">7</definedName>
    <definedName name="RiskHasSettings">5</definedName>
    <definedName name="RiskMinimizeOnStart">FALSE</definedName>
    <definedName name="RiskMonitorConvergence">FALSE</definedName>
    <definedName name="RiskMultipleCPUSupportEnabled">TRUE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2</definedName>
    <definedName name="RiskTemplateSheetName">"myTemplate"</definedName>
    <definedName name="RiskUpdateDisplay">FALSE</definedName>
    <definedName name="RiskUseDifferentSeedForEachSim">FALSE</definedName>
    <definedName name="RiskUseFixedSeed">FALSE</definedName>
    <definedName name="RiskUseMultipleCPUs">TRUE</definedName>
    <definedName name="rr" localSheetId="1" hidden="1">{"mass bal",#N/A,FALSE,"Standard_mass_bal_template";"ied sheet",#N/A,FALSE,"Standard_mass_bal_template"}</definedName>
    <definedName name="rr" localSheetId="3" hidden="1">{"mass bal",#N/A,FALSE,"Standard_mass_bal_template";"ied sheet",#N/A,FALSE,"Standard_mass_bal_template"}</definedName>
    <definedName name="rr" hidden="1">{"mass bal",#N/A,FALSE,"Standard_mass_bal_template";"ied sheet",#N/A,FALSE,"Standard_mass_bal_template"}</definedName>
    <definedName name="rt" localSheetId="1" hidden="1">{"mass bal",#N/A,FALSE,"Standard_mass_bal_template";"ied sheet",#N/A,FALSE,"Standard_mass_bal_template"}</definedName>
    <definedName name="rt" localSheetId="3" hidden="1">{"mass bal",#N/A,FALSE,"Standard_mass_bal_template";"ied sheet",#N/A,FALSE,"Standard_mass_bal_template"}</definedName>
    <definedName name="rt" hidden="1">{"mass bal",#N/A,FALSE,"Standard_mass_bal_template";"ied sheet",#N/A,FALSE,"Standard_mass_bal_template"}</definedName>
    <definedName name="rtretert" localSheetId="1" hidden="1">{"mass bal",#N/A,FALSE,"Standard_mass_bal_template";"ied sheet",#N/A,FALSE,"Standard_mass_bal_template"}</definedName>
    <definedName name="rtretert" localSheetId="3" hidden="1">{"mass bal",#N/A,FALSE,"Standard_mass_bal_template";"ied sheet",#N/A,FALSE,"Standard_mass_bal_template"}</definedName>
    <definedName name="rtretert" hidden="1">{"mass bal",#N/A,FALSE,"Standard_mass_bal_template";"ied sheet",#N/A,FALSE,"Standard_mass_bal_template"}</definedName>
    <definedName name="Rumbling" localSheetId="1" hidden="1">{"NET",#N/A,FALSE,"401C11"}</definedName>
    <definedName name="Rumbling" hidden="1">{"NET",#N/A,FALSE,"401C11"}</definedName>
    <definedName name="rytry" localSheetId="1" hidden="1">{"NET",#N/A,FALSE,"401C11"}</definedName>
    <definedName name="rytry" localSheetId="3" hidden="1">{"NET",#N/A,FALSE,"401C11"}</definedName>
    <definedName name="rytry" hidden="1">{"NET",#N/A,FALSE,"401C11"}</definedName>
    <definedName name="sada" localSheetId="1" hidden="1">{"mass bal",#N/A,FALSE,"Standard_mass_bal_template";"ied sheet",#N/A,FALSE,"Standard_mass_bal_template"}</definedName>
    <definedName name="sada" localSheetId="3" hidden="1">{"mass bal",#N/A,FALSE,"Standard_mass_bal_template";"ied sheet",#N/A,FALSE,"Standard_mass_bal_template"}</definedName>
    <definedName name="sada" hidden="1">{"mass bal",#N/A,FALSE,"Standard_mass_bal_template";"ied sheet",#N/A,FALSE,"Standard_mass_bal_template"}</definedName>
    <definedName name="SAPBEXhrIndnt" hidden="1">"Wide"</definedName>
    <definedName name="SAPBEXrevision">1</definedName>
    <definedName name="SAPBEXsysID">"BWB"</definedName>
    <definedName name="SAPBEXwbID">"49ZLUKBQR0WG29D9LLI3IBIIT"</definedName>
    <definedName name="SAPsysID" hidden="1">"708C5W7SBKP804JT78WJ0JNKI"</definedName>
    <definedName name="SAPwbID" hidden="1">"ARS"</definedName>
    <definedName name="sdf" localSheetId="1" hidden="1">{"mass bal",#N/A,FALSE,"Standard_mass_bal_template";"ied sheet",#N/A,FALSE,"Standard_mass_bal_template"}</definedName>
    <definedName name="sdf" localSheetId="3" hidden="1">{"mass bal",#N/A,FALSE,"Standard_mass_bal_template";"ied sheet",#N/A,FALSE,"Standard_mass_bal_template"}</definedName>
    <definedName name="sdf" hidden="1">{"mass bal",#N/A,FALSE,"Standard_mass_bal_template";"ied sheet",#N/A,FALSE,"Standard_mass_bal_template"}</definedName>
    <definedName name="sencount" hidden="1">1</definedName>
    <definedName name="sfd" localSheetId="1" hidden="1">{"mass bal",#N/A,FALSE,"Standard_mass_bal_template";"ied sheet",#N/A,FALSE,"Standard_mass_bal_template"}</definedName>
    <definedName name="sfd" localSheetId="3" hidden="1">{"mass bal",#N/A,FALSE,"Standard_mass_bal_template";"ied sheet",#N/A,FALSE,"Standard_mass_bal_template"}</definedName>
    <definedName name="sfd" hidden="1">{"mass bal",#N/A,FALSE,"Standard_mass_bal_template";"ied sheet",#N/A,FALSE,"Standard_mass_bal_template"}</definedName>
    <definedName name="sort" localSheetId="1" hidden="1">#REF!</definedName>
    <definedName name="sort" localSheetId="3" hidden="1">#REF!</definedName>
    <definedName name="sort" hidden="1">#REF!</definedName>
    <definedName name="ss" localSheetId="1" hidden="1">{"mass bal",#N/A,FALSE,"Standard_mass_bal_template";"ied sheet",#N/A,FALSE,"Standard_mass_bal_template"}</definedName>
    <definedName name="ss" localSheetId="3" hidden="1">{"mass bal",#N/A,FALSE,"Standard_mass_bal_template";"ied sheet",#N/A,FALSE,"Standard_mass_bal_template"}</definedName>
    <definedName name="ss" hidden="1">{"mass bal",#N/A,FALSE,"Standard_mass_bal_template";"ied sheet",#N/A,FALSE,"Standard_mass_bal_template"}</definedName>
    <definedName name="sss" localSheetId="1" hidden="1">{"mass bal",#N/A,FALSE,"Standard_mass_bal_template";"ied sheet",#N/A,FALSE,"Standard_mass_bal_template"}</definedName>
    <definedName name="sss" localSheetId="3" hidden="1">{"mass bal",#N/A,FALSE,"Standard_mass_bal_template";"ied sheet",#N/A,FALSE,"Standard_mass_bal_template"}</definedName>
    <definedName name="sss" hidden="1">{"mass bal",#N/A,FALSE,"Standard_mass_bal_template";"ied sheet",#N/A,FALSE,"Standard_mass_bal_template"}</definedName>
    <definedName name="ssss" localSheetId="1" hidden="1">{"mass bal",#N/A,FALSE,"Standard_mass_bal_template";"ied sheet",#N/A,FALSE,"Standard_mass_bal_template"}</definedName>
    <definedName name="ssss" localSheetId="3" hidden="1">{"mass bal",#N/A,FALSE,"Standard_mass_bal_template";"ied sheet",#N/A,FALSE,"Standard_mass_bal_template"}</definedName>
    <definedName name="ssss" hidden="1">{"mass bal",#N/A,FALSE,"Standard_mass_bal_template";"ied sheet",#N/A,FALSE,"Standard_mass_bal_template"}</definedName>
    <definedName name="ssssss" localSheetId="1" hidden="1">{"mass bal",#N/A,FALSE,"Standard_mass_bal_template";"ied sheet",#N/A,FALSE,"Standard_mass_bal_template"}</definedName>
    <definedName name="ssssss" localSheetId="3" hidden="1">{"mass bal",#N/A,FALSE,"Standard_mass_bal_template";"ied sheet",#N/A,FALSE,"Standard_mass_bal_template"}</definedName>
    <definedName name="ssssss" hidden="1">{"mass bal",#N/A,FALSE,"Standard_mass_bal_template";"ied sheet",#N/A,FALSE,"Standard_mass_bal_template"}</definedName>
    <definedName name="Table3.4" localSheetId="1" hidden="1">{"CHARGE",#N/A,FALSE,"401C11"}</definedName>
    <definedName name="Table3.4" localSheetId="3" hidden="1">{"CHARGE",#N/A,FALSE,"401C11"}</definedName>
    <definedName name="Table3.4" hidden="1">{"CHARGE",#N/A,FALSE,"401C11"}</definedName>
    <definedName name="tertret" localSheetId="1" hidden="1">{"mass bal",#N/A,FALSE,"Standard_mass_bal_template";"ied sheet",#N/A,FALSE,"Standard_mass_bal_template"}</definedName>
    <definedName name="tertret" localSheetId="3" hidden="1">{"mass bal",#N/A,FALSE,"Standard_mass_bal_template";"ied sheet",#N/A,FALSE,"Standard_mass_bal_template"}</definedName>
    <definedName name="tertret" hidden="1">{"mass bal",#N/A,FALSE,"Standard_mass_bal_template";"ied sheet",#N/A,FALSE,"Standard_mass_bal_template"}</definedName>
    <definedName name="Test23" localSheetId="1" hidden="1">{"NET",#N/A,FALSE,"401C11"}</definedName>
    <definedName name="Test23" localSheetId="3" hidden="1">{"NET",#N/A,FALSE,"401C11"}</definedName>
    <definedName name="Test23" hidden="1">{"NET",#N/A,FALSE,"401C11"}</definedName>
    <definedName name="tokpi" localSheetId="1" hidden="1">{"mass bal",#N/A,FALSE,"Standard_mass_bal_template";"ied sheet",#N/A,FALSE,"Standard_mass_bal_template"}</definedName>
    <definedName name="tokpi" localSheetId="3" hidden="1">{"mass bal",#N/A,FALSE,"Standard_mass_bal_template";"ied sheet",#N/A,FALSE,"Standard_mass_bal_template"}</definedName>
    <definedName name="tokpi" hidden="1">{"mass bal",#N/A,FALSE,"Standard_mass_bal_template";"ied sheet",#N/A,FALSE,"Standard_mass_bal_template"}</definedName>
    <definedName name="tpff" localSheetId="1" hidden="1">{"mass bal",#N/A,FALSE,"Standard_mass_bal_template";"ied sheet",#N/A,FALSE,"Standard_mass_bal_template"}</definedName>
    <definedName name="tpff" localSheetId="3" hidden="1">{"mass bal",#N/A,FALSE,"Standard_mass_bal_template";"ied sheet",#N/A,FALSE,"Standard_mass_bal_template"}</definedName>
    <definedName name="tpff" hidden="1">{"mass bal",#N/A,FALSE,"Standard_mass_bal_template";"ied sheet",#N/A,FALSE,"Standard_mass_bal_template"}</definedName>
    <definedName name="trdhtr" localSheetId="1" hidden="1">#REF!</definedName>
    <definedName name="trdhtr" localSheetId="3" hidden="1">#REF!</definedName>
    <definedName name="trdhtr" hidden="1">#REF!</definedName>
    <definedName name="tt" localSheetId="1" hidden="1">{"mass bal",#N/A,FALSE,"Standard_mass_bal_template";"ied sheet",#N/A,FALSE,"Standard_mass_bal_template"}</definedName>
    <definedName name="tt" localSheetId="3" hidden="1">{"mass bal",#N/A,FALSE,"Standard_mass_bal_template";"ied sheet",#N/A,FALSE,"Standard_mass_bal_template"}</definedName>
    <definedName name="tt" hidden="1">{"mass bal",#N/A,FALSE,"Standard_mass_bal_template";"ied sheet",#N/A,FALSE,"Standard_mass_bal_template"}</definedName>
    <definedName name="tty" localSheetId="1" hidden="1">{"mass bal",#N/A,FALSE,"Standard_mass_bal_template";"ied sheet",#N/A,FALSE,"Standard_mass_bal_template"}</definedName>
    <definedName name="tty" localSheetId="3" hidden="1">{"mass bal",#N/A,FALSE,"Standard_mass_bal_template";"ied sheet",#N/A,FALSE,"Standard_mass_bal_template"}</definedName>
    <definedName name="tty" hidden="1">{"mass bal",#N/A,FALSE,"Standard_mass_bal_template";"ied sheet",#N/A,FALSE,"Standard_mass_bal_template"}</definedName>
    <definedName name="UIOUIO" localSheetId="1" hidden="1">{"mass bal",#N/A,FALSE,"Standard_mass_bal_template";"ied sheet",#N/A,FALSE,"Standard_mass_bal_template"}</definedName>
    <definedName name="UIOUIO" localSheetId="3" hidden="1">{"mass bal",#N/A,FALSE,"Standard_mass_bal_template";"ied sheet",#N/A,FALSE,"Standard_mass_bal_template"}</definedName>
    <definedName name="UIOUIO" hidden="1">{"mass bal",#N/A,FALSE,"Standard_mass_bal_template";"ied sheet",#N/A,FALSE,"Standard_mass_bal_template"}</definedName>
    <definedName name="UIOUIOUIOUIOU" localSheetId="1" hidden="1">{"mass bal",#N/A,FALSE,"Standard_mass_bal_template";"ied sheet",#N/A,FALSE,"Standard_mass_bal_template"}</definedName>
    <definedName name="UIOUIOUIOUIOU" localSheetId="3" hidden="1">{"mass bal",#N/A,FALSE,"Standard_mass_bal_template";"ied sheet",#N/A,FALSE,"Standard_mass_bal_template"}</definedName>
    <definedName name="UIOUIOUIOUIOU" hidden="1">{"mass bal",#N/A,FALSE,"Standard_mass_bal_template";"ied sheet",#N/A,FALSE,"Standard_mass_bal_template"}</definedName>
    <definedName name="UIOUIOUOIUIO" localSheetId="1" hidden="1">{"mass bal",#N/A,FALSE,"Standard_mass_bal_template";"ied sheet",#N/A,FALSE,"Standard_mass_bal_template"}</definedName>
    <definedName name="UIOUIOUOIUIO" localSheetId="3" hidden="1">{"mass bal",#N/A,FALSE,"Standard_mass_bal_template";"ied sheet",#N/A,FALSE,"Standard_mass_bal_template"}</definedName>
    <definedName name="UIOUIOUOIUIO" hidden="1">{"mass bal",#N/A,FALSE,"Standard_mass_bal_template";"ied sheet",#N/A,FALSE,"Standard_mass_bal_template"}</definedName>
    <definedName name="UIOUIOUOIUOUOU" localSheetId="1" hidden="1">{"mass bal",#N/A,FALSE,"Standard_mass_bal_template";"ied sheet",#N/A,FALSE,"Standard_mass_bal_template"}</definedName>
    <definedName name="UIOUIOUOIUOUOU" localSheetId="3" hidden="1">{"mass bal",#N/A,FALSE,"Standard_mass_bal_template";"ied sheet",#N/A,FALSE,"Standard_mass_bal_template"}</definedName>
    <definedName name="UIOUIOUOIUOUOU" hidden="1">{"mass bal",#N/A,FALSE,"Standard_mass_bal_template";"ied sheet",#N/A,FALSE,"Standard_mass_bal_template"}</definedName>
    <definedName name="UIOUIOUOUIO" localSheetId="1" hidden="1">{"mass bal",#N/A,FALSE,"Standard_mass_bal_template";"ied sheet",#N/A,FALSE,"Standard_mass_bal_template"}</definedName>
    <definedName name="UIOUIOUOUIO" localSheetId="3" hidden="1">{"mass bal",#N/A,FALSE,"Standard_mass_bal_template";"ied sheet",#N/A,FALSE,"Standard_mass_bal_template"}</definedName>
    <definedName name="UIOUIOUOUIO" hidden="1">{"mass bal",#N/A,FALSE,"Standard_mass_bal_template";"ied sheet",#N/A,FALSE,"Standard_mass_bal_template"}</definedName>
    <definedName name="UIOUO" localSheetId="1" hidden="1">{"mass bal",#N/A,FALSE,"Standard_mass_bal_template";"ied sheet",#N/A,FALSE,"Standard_mass_bal_template"}</definedName>
    <definedName name="UIOUO" localSheetId="3" hidden="1">{"mass bal",#N/A,FALSE,"Standard_mass_bal_template";"ied sheet",#N/A,FALSE,"Standard_mass_bal_template"}</definedName>
    <definedName name="UIOUO" hidden="1">{"mass bal",#N/A,FALSE,"Standard_mass_bal_template";"ied sheet",#N/A,FALSE,"Standard_mass_bal_template"}</definedName>
    <definedName name="UIOUOIUOUIOUIO" localSheetId="1" hidden="1">{"mass bal",#N/A,FALSE,"Standard_mass_bal_template";"ied sheet",#N/A,FALSE,"Standard_mass_bal_template"}</definedName>
    <definedName name="UIOUOIUOUIOUIO" localSheetId="3" hidden="1">{"mass bal",#N/A,FALSE,"Standard_mass_bal_template";"ied sheet",#N/A,FALSE,"Standard_mass_bal_template"}</definedName>
    <definedName name="UIOUOIUOUIOUIO" hidden="1">{"mass bal",#N/A,FALSE,"Standard_mass_bal_template";"ied sheet",#N/A,FALSE,"Standard_mass_bal_template"}</definedName>
    <definedName name="UIOUOOUI" localSheetId="1" hidden="1">{"mass bal",#N/A,FALSE,"Standard_mass_bal_template";"ied sheet",#N/A,FALSE,"Standard_mass_bal_template"}</definedName>
    <definedName name="UIOUOOUI" localSheetId="3" hidden="1">{"mass bal",#N/A,FALSE,"Standard_mass_bal_template";"ied sheet",#N/A,FALSE,"Standard_mass_bal_template"}</definedName>
    <definedName name="UIOUOOUI" hidden="1">{"mass bal",#N/A,FALSE,"Standard_mass_bal_template";"ied sheet",#N/A,FALSE,"Standard_mass_bal_template"}</definedName>
    <definedName name="UIOUOUOUI" localSheetId="1" hidden="1">{"mass bal",#N/A,FALSE,"Standard_mass_bal_template";"ied sheet",#N/A,FALSE,"Standard_mass_bal_template"}</definedName>
    <definedName name="UIOUOUOUI" localSheetId="3" hidden="1">{"mass bal",#N/A,FALSE,"Standard_mass_bal_template";"ied sheet",#N/A,FALSE,"Standard_mass_bal_template"}</definedName>
    <definedName name="UIOUOUOUI" hidden="1">{"mass bal",#N/A,FALSE,"Standard_mass_bal_template";"ied sheet",#N/A,FALSE,"Standard_mass_bal_template"}</definedName>
    <definedName name="UOIUIOUIO" localSheetId="1" hidden="1">{"mass bal",#N/A,FALSE,"Standard_mass_bal_template";"ied sheet",#N/A,FALSE,"Standard_mass_bal_template"}</definedName>
    <definedName name="UOIUIOUIO" localSheetId="3" hidden="1">{"mass bal",#N/A,FALSE,"Standard_mass_bal_template";"ied sheet",#N/A,FALSE,"Standard_mass_bal_template"}</definedName>
    <definedName name="UOIUIOUIO" hidden="1">{"mass bal",#N/A,FALSE,"Standard_mass_bal_template";"ied sheet",#N/A,FALSE,"Standard_mass_bal_template"}</definedName>
    <definedName name="uu" localSheetId="1" hidden="1">{"mass bal",#N/A,FALSE,"Standard_mass_bal_template";"ied sheet",#N/A,FALSE,"Standard_mass_bal_template"}</definedName>
    <definedName name="uu" localSheetId="3" hidden="1">{"mass bal",#N/A,FALSE,"Standard_mass_bal_template";"ied sheet",#N/A,FALSE,"Standard_mass_bal_template"}</definedName>
    <definedName name="uu" hidden="1">{"mass bal",#N/A,FALSE,"Standard_mass_bal_template";"ied sheet",#N/A,FALSE,"Standard_mass_bal_template"}</definedName>
    <definedName name="vbc" localSheetId="1" hidden="1">{"mass bal",#N/A,FALSE,"Standard_mass_bal_template";"ied sheet",#N/A,FALSE,"Standard_mass_bal_template"}</definedName>
    <definedName name="vbc" localSheetId="3" hidden="1">{"mass bal",#N/A,FALSE,"Standard_mass_bal_template";"ied sheet",#N/A,FALSE,"Standard_mass_bal_template"}</definedName>
    <definedName name="vbc" hidden="1">{"mass bal",#N/A,FALSE,"Standard_mass_bal_template";"ied sheet",#N/A,FALSE,"Standard_mass_bal_template"}</definedName>
    <definedName name="VFSD" localSheetId="1" hidden="1">{"mass bal",#N/A,FALSE,"Standard_mass_bal_template";"ied sheet",#N/A,FALSE,"Standard_mass_bal_template"}</definedName>
    <definedName name="VFSD" localSheetId="3" hidden="1">{"mass bal",#N/A,FALSE,"Standard_mass_bal_template";"ied sheet",#N/A,FALSE,"Standard_mass_bal_template"}</definedName>
    <definedName name="VFSD" hidden="1">{"mass bal",#N/A,FALSE,"Standard_mass_bal_template";"ied sheet",#N/A,FALSE,"Standard_mass_bal_template"}</definedName>
    <definedName name="vqm.lxss_.bal._.ful." localSheetId="1" hidden="1">{"mass bal",#N/A,FALSE,"Standard_mass_bal_template";"ied sheet",#N/A,FALSE,"Standard_mass_bal_template"}</definedName>
    <definedName name="vqm.lxss_.bal._.ful." localSheetId="3" hidden="1">{"mass bal",#N/A,FALSE,"Standard_mass_bal_template";"ied sheet",#N/A,FALSE,"Standard_mass_bal_template"}</definedName>
    <definedName name="vqm.lxss_.bal._.ful." hidden="1">{"mass bal",#N/A,FALSE,"Standard_mass_bal_template";"ied sheet",#N/A,FALSE,"Standard_mass_bal_template"}</definedName>
    <definedName name="VVFSD" localSheetId="1" hidden="1">{"mass bal",#N/A,FALSE,"Standard_mass_bal_template";"ied sheet",#N/A,FALSE,"Standard_mass_bal_template"}</definedName>
    <definedName name="VVFSD" localSheetId="3" hidden="1">{"mass bal",#N/A,FALSE,"Standard_mass_bal_template";"ied sheet",#N/A,FALSE,"Standard_mass_bal_template"}</definedName>
    <definedName name="VVFSD" hidden="1">{"mass bal",#N/A,FALSE,"Standard_mass_bal_template";"ied sheet",#N/A,FALSE,"Standard_mass_bal_template"}</definedName>
    <definedName name="Water_totex_2" localSheetId="1" hidden="1">{"NET",#N/A,FALSE,"401C11"}</definedName>
    <definedName name="Water_totex_2" hidden="1">{"NET",#N/A,FALSE,"401C11"}</definedName>
    <definedName name="wdwqd" localSheetId="1" hidden="1">{"mass bal",#N/A,FALSE,"Standard_mass_bal_template";"ied sheet",#N/A,FALSE,"Standard_mass_bal_template"}</definedName>
    <definedName name="wdwqd" localSheetId="3" hidden="1">{"mass bal",#N/A,FALSE,"Standard_mass_bal_template";"ied sheet",#N/A,FALSE,"Standard_mass_bal_template"}</definedName>
    <definedName name="wdwqd" hidden="1">{"mass bal",#N/A,FALSE,"Standard_mass_bal_template";"ied sheet",#N/A,FALSE,"Standard_mass_bal_template"}</definedName>
    <definedName name="wert" localSheetId="1" hidden="1">{"GROSS",#N/A,FALSE,"401C11"}</definedName>
    <definedName name="wert" localSheetId="3" hidden="1">{"GROSS",#N/A,FALSE,"401C11"}</definedName>
    <definedName name="wert" hidden="1">{"GROSS",#N/A,FALSE,"401C11"}</definedName>
    <definedName name="werwer" localSheetId="1" hidden="1">{"mass bal",#N/A,FALSE,"Standard_mass_bal_template";"ied sheet",#N/A,FALSE,"Standard_mass_bal_template"}</definedName>
    <definedName name="werwer" localSheetId="3" hidden="1">{"mass bal",#N/A,FALSE,"Standard_mass_bal_template";"ied sheet",#N/A,FALSE,"Standard_mass_bal_template"}</definedName>
    <definedName name="werwer" hidden="1">{"mass bal",#N/A,FALSE,"Standard_mass_bal_template";"ied sheet",#N/A,FALSE,"Standard_mass_bal_template"}</definedName>
    <definedName name="wgte" localSheetId="1" hidden="1">{"mass bal",#N/A,FALSE,"Standard_mass_bal_template";"ied sheet",#N/A,FALSE,"Standard_mass_bal_template"}</definedName>
    <definedName name="wgte" localSheetId="3" hidden="1">{"mass bal",#N/A,FALSE,"Standard_mass_bal_template";"ied sheet",#N/A,FALSE,"Standard_mass_bal_template"}</definedName>
    <definedName name="wgte" hidden="1">{"mass bal",#N/A,FALSE,"Standard_mass_bal_template";"ied sheet",#N/A,FALSE,"Standard_mass_bal_template"}</definedName>
    <definedName name="wombat" localSheetId="1" hidden="1">#REF!</definedName>
    <definedName name="wombat" localSheetId="3" hidden="1">#REF!</definedName>
    <definedName name="wombat" hidden="1">#REF!</definedName>
    <definedName name="wotsthis" localSheetId="1" hidden="1">{"P&amp;L phased",#N/A,FALSE,"P and L";"Interest phased",#N/A,FALSE,"Interest";"Cshf phased",#N/A,FALSE,"Cashflow";"BSheet phased",#N/A,FALSE,"B Sheet";"Capex phased",#N/A,FALSE,"Capex"}</definedName>
    <definedName name="wotsthis" localSheetId="3" hidden="1">{"P&amp;L phased",#N/A,FALSE,"P and L";"Interest phased",#N/A,FALSE,"Interest";"Cshf phased",#N/A,FALSE,"Cashflow";"BSheet phased",#N/A,FALSE,"B Sheet";"Capex phased",#N/A,FALSE,"Capex"}</definedName>
    <definedName name="wotsthis" hidden="1">{"P&amp;L phased",#N/A,FALSE,"P and L";"Interest phased",#N/A,FALSE,"Interest";"Cshf phased",#N/A,FALSE,"Cashflow";"BSheet phased",#N/A,FALSE,"B Sheet";"Capex phased",#N/A,FALSE,"Capex"}</definedName>
    <definedName name="wrn.A." localSheetId="1" hidden="1">{#N/A,#N/A,FALSE,"QTR RATIOS - Margin"}</definedName>
    <definedName name="wrn.A." localSheetId="3" hidden="1">{#N/A,#N/A,FALSE,"QTR RATIOS - Margin"}</definedName>
    <definedName name="wrn.A." hidden="1">{#N/A,#N/A,FALSE,"QTR RATIOS - Margin"}</definedName>
    <definedName name="wrn.Calculation._.Sheets." localSheetId="1" hidden="1">{#N/A,#N/A,FALSE,"Marka Calcs";#N/A,#N/A,FALSE,"Aqaba Calcs";#N/A,#N/A,FALSE,"QAIA Calcs";#N/A,#N/A,FALSE,"Cons Airpo Calcs";#N/A,#N/A,FALSE,"ANS calcs";#N/A,#N/A,FALSE,"QNTC Calcs";#N/A,#N/A,FALSE,"R&amp;S Calcs";#N/A,#N/A,FALSE,"Corp Calcs";#N/A,#N/A,FALSE,"Cons CAA Calcs"}</definedName>
    <definedName name="wrn.Calculation._.Sheets." localSheetId="3" hidden="1">{#N/A,#N/A,FALSE,"Marka Calcs";#N/A,#N/A,FALSE,"Aqaba Calcs";#N/A,#N/A,FALSE,"QAIA Calcs";#N/A,#N/A,FALSE,"Cons Airpo Calcs";#N/A,#N/A,FALSE,"ANS calcs";#N/A,#N/A,FALSE,"QNTC Calcs";#N/A,#N/A,FALSE,"R&amp;S Calcs";#N/A,#N/A,FALSE,"Corp Calcs";#N/A,#N/A,FALSE,"Cons CAA Calcs"}</definedName>
    <definedName name="wrn.Calculation._.Sheets." hidden="1">{#N/A,#N/A,FALSE,"Marka Calcs";#N/A,#N/A,FALSE,"Aqaba Calcs";#N/A,#N/A,FALSE,"QAIA Calcs";#N/A,#N/A,FALSE,"Cons Airpo Calcs";#N/A,#N/A,FALSE,"ANS calcs";#N/A,#N/A,FALSE,"QNTC Calcs";#N/A,#N/A,FALSE,"R&amp;S Calcs";#N/A,#N/A,FALSE,"Corp Calcs";#N/A,#N/A,FALSE,"Cons CAA Calcs"}</definedName>
    <definedName name="wrn.calculation._.Sheets2." localSheetId="1" hidden="1">{#N/A,#N/A,FALSE,"Marka Calcs";#N/A,#N/A,FALSE,"Aqaba Calcs";#N/A,#N/A,FALSE,"QAIA Calcs";#N/A,#N/A,FALSE,"Cons Airpo Calcs";#N/A,#N/A,FALSE,"ANS calcs";#N/A,#N/A,FALSE,"QNTC Calcs";#N/A,#N/A,FALSE,"R&amp;S Calcs";#N/A,#N/A,FALSE,"Corp Calcs";#N/A,#N/A,FALSE,"Cons CAA Calcs"}</definedName>
    <definedName name="wrn.calculation._.Sheets2." localSheetId="3" hidden="1">{#N/A,#N/A,FALSE,"Marka Calcs";#N/A,#N/A,FALSE,"Aqaba Calcs";#N/A,#N/A,FALSE,"QAIA Calcs";#N/A,#N/A,FALSE,"Cons Airpo Calcs";#N/A,#N/A,FALSE,"ANS calcs";#N/A,#N/A,FALSE,"QNTC Calcs";#N/A,#N/A,FALSE,"R&amp;S Calcs";#N/A,#N/A,FALSE,"Corp Calcs";#N/A,#N/A,FALSE,"Cons CAA Calcs"}</definedName>
    <definedName name="wrn.calculation._.Sheets2." hidden="1">{#N/A,#N/A,FALSE,"Marka Calcs";#N/A,#N/A,FALSE,"Aqaba Calcs";#N/A,#N/A,FALSE,"QAIA Calcs";#N/A,#N/A,FALSE,"Cons Airpo Calcs";#N/A,#N/A,FALSE,"ANS calcs";#N/A,#N/A,FALSE,"QNTC Calcs";#N/A,#N/A,FALSE,"R&amp;S Calcs";#N/A,#N/A,FALSE,"Corp Calcs";#N/A,#N/A,FALSE,"Cons CAA Calcs"}</definedName>
    <definedName name="wrn.CHARGE." localSheetId="1" hidden="1">{"CHARGE",#N/A,FALSE,"401C11"}</definedName>
    <definedName name="wrn.CHARGE." localSheetId="3" hidden="1">{"CHARGE",#N/A,FALSE,"401C11"}</definedName>
    <definedName name="wrn.CHARGE." hidden="1">{"CHARGE",#N/A,FALSE,"401C11"}</definedName>
    <definedName name="wrn.GROSS." localSheetId="1" hidden="1">{"GROSS",#N/A,FALSE,"401C11"}</definedName>
    <definedName name="wrn.GROSS." localSheetId="3" hidden="1">{"GROSS",#N/A,FALSE,"401C11"}</definedName>
    <definedName name="wrn.GROSS." hidden="1">{"GROSS",#N/A,FALSE,"401C11"}</definedName>
    <definedName name="wrn.mass._.bal._.ful." localSheetId="1" hidden="1">{"mass bal",#N/A,FALSE,"Standard_mass_bal_template";"ied sheet",#N/A,FALSE,"Standard_mass_bal_template"}</definedName>
    <definedName name="wrn.mass._.bal._.ful." localSheetId="3" hidden="1">{"mass bal",#N/A,FALSE,"Standard_mass_bal_template";"ied sheet",#N/A,FALSE,"Standard_mass_bal_template"}</definedName>
    <definedName name="wrn.mass._.bal._.ful." hidden="1">{"mass bal",#N/A,FALSE,"Standard_mass_bal_template";"ied sheet",#N/A,FALSE,"Standard_mass_bal_template"}</definedName>
    <definedName name="wrn.Monthly._.Reports." localSheetId="1" hidden="1">{#N/A,#N/A,FALSE,"Summary";#N/A,#N/A,FALSE,"Admin";#N/A,#N/A,FALSE,"Medical";#N/A,#N/A,FALSE,"Pharmaco";#N/A,#N/A,FALSE,"Regulatory";#N/A,#N/A,FALSE,"Biometrics";#N/A,#N/A,FALSE,"Med Info";#N/A,#N/A,FALSE,"Proj Man";#N/A,#N/A,FALSE,"Pharm Dev";#N/A,#N/A,FALSE,"QA";#N/A,#N/A,FALSE,"Preclinical"}</definedName>
    <definedName name="wrn.Monthly._.Reports." localSheetId="3" hidden="1">{#N/A,#N/A,FALSE,"Summary";#N/A,#N/A,FALSE,"Admin";#N/A,#N/A,FALSE,"Medical";#N/A,#N/A,FALSE,"Pharmaco";#N/A,#N/A,FALSE,"Regulatory";#N/A,#N/A,FALSE,"Biometrics";#N/A,#N/A,FALSE,"Med Info";#N/A,#N/A,FALSE,"Proj Man";#N/A,#N/A,FALSE,"Pharm Dev";#N/A,#N/A,FALSE,"QA";#N/A,#N/A,FALSE,"Preclinical"}</definedName>
    <definedName name="wrn.Monthly._.Reports." hidden="1">{#N/A,#N/A,FALSE,"Summary";#N/A,#N/A,FALSE,"Admin";#N/A,#N/A,FALSE,"Medical";#N/A,#N/A,FALSE,"Pharmaco";#N/A,#N/A,FALSE,"Regulatory";#N/A,#N/A,FALSE,"Biometrics";#N/A,#N/A,FALSE,"Med Info";#N/A,#N/A,FALSE,"Proj Man";#N/A,#N/A,FALSE,"Pharm Dev";#N/A,#N/A,FALSE,"QA";#N/A,#N/A,FALSE,"Preclinical"}</definedName>
    <definedName name="wrn.NET." localSheetId="1" hidden="1">{"NET",#N/A,FALSE,"401C11"}</definedName>
    <definedName name="wrn.NET." localSheetId="3" hidden="1">{"NET",#N/A,FALSE,"401C11"}</definedName>
    <definedName name="wrn.NET." hidden="1">{"NET",#N/A,FALSE,"401C11"}</definedName>
    <definedName name="wrn.papersdraft" localSheetId="1" hidden="1">{"bal",#N/A,FALSE,"working papers";"income",#N/A,FALSE,"working papers"}</definedName>
    <definedName name="wrn.papersdraft" localSheetId="3" hidden="1">{"bal",#N/A,FALSE,"working papers";"income",#N/A,FALSE,"working papers"}</definedName>
    <definedName name="wrn.papersdraft">{"bal",#N/A,FALSE,"working papers";"income",#N/A,FALSE,"working papers"}</definedName>
    <definedName name="wrn.Print._.5._.and._.12." localSheetId="1" hidden="1">{"EBIT 5",#N/A,FALSE,"EBIT";"NPAT 5",#N/A,FALSE,"EBIT";"EBITDA 5",#N/A,FALSE,"EBIT";"INTEREST 5",#N/A,FALSE,"EBIT";"TAX 5",#N/A,FALSE,"EBIT";"MI 5",#N/A,FALSE,"EBIT";"3G 5",#N/A,FALSE,"EBIT";"E-Com 5",#N/A,FALSE,"EBIT";"EBIT 12",#N/A,FALSE,"EBIT";"NPAT 12",#N/A,FALSE,"EBIT";"EBITDA 12",#N/A,FALSE,"EBIT";"INTEREST 12",#N/A,FALSE,"EBIT";"TAX 12",#N/A,FALSE,"EBIT";"MI 12",#N/A,FALSE,"EBIT"}</definedName>
    <definedName name="wrn.Print._.5._.and._.12." localSheetId="3" hidden="1">{"EBIT 5",#N/A,FALSE,"EBIT";"NPAT 5",#N/A,FALSE,"EBIT";"EBITDA 5",#N/A,FALSE,"EBIT";"INTEREST 5",#N/A,FALSE,"EBIT";"TAX 5",#N/A,FALSE,"EBIT";"MI 5",#N/A,FALSE,"EBIT";"3G 5",#N/A,FALSE,"EBIT";"E-Com 5",#N/A,FALSE,"EBIT";"EBIT 12",#N/A,FALSE,"EBIT";"NPAT 12",#N/A,FALSE,"EBIT";"EBITDA 12",#N/A,FALSE,"EBIT";"INTEREST 12",#N/A,FALSE,"EBIT";"TAX 12",#N/A,FALSE,"EBIT";"MI 12",#N/A,FALSE,"EBIT"}</definedName>
    <definedName name="wrn.Print._.5._.and._.12." hidden="1">{"EBIT 5",#N/A,FALSE,"EBIT";"NPAT 5",#N/A,FALSE,"EBIT";"EBITDA 5",#N/A,FALSE,"EBIT";"INTEREST 5",#N/A,FALSE,"EBIT";"TAX 5",#N/A,FALSE,"EBIT";"MI 5",#N/A,FALSE,"EBIT";"3G 5",#N/A,FALSE,"EBIT";"E-Com 5",#N/A,FALSE,"EBIT";"EBIT 12",#N/A,FALSE,"EBIT";"NPAT 12",#N/A,FALSE,"EBIT";"EBITDA 12",#N/A,FALSE,"EBIT";"INTEREST 12",#N/A,FALSE,"EBIT";"TAX 12",#N/A,FALSE,"EBIT";"MI 12",#N/A,FALSE,"EBIT"}</definedName>
    <definedName name="wrn.Print._.Phased." localSheetId="1" hidden="1">{"P&amp;L phased",#N/A,FALSE,"P and L";"Interest phased",#N/A,FALSE,"Interest";"Cshf phased",#N/A,FALSE,"Cashflow";"BSheet phased",#N/A,FALSE,"B Sheet";"Capex phased",#N/A,FALSE,"Capex"}</definedName>
    <definedName name="wrn.Print._.Phased." localSheetId="3" hidden="1">{"P&amp;L phased",#N/A,FALSE,"P and L";"Interest phased",#N/A,FALSE,"Interest";"Cshf phased",#N/A,FALSE,"Cashflow";"BSheet phased",#N/A,FALSE,"B Sheet";"Capex phased",#N/A,FALSE,"Capex"}</definedName>
    <definedName name="wrn.Print._.Phased." hidden="1">{"P&amp;L phased",#N/A,FALSE,"P and L";"Interest phased",#N/A,FALSE,"Interest";"Cshf phased",#N/A,FALSE,"Cashflow";"BSheet phased",#N/A,FALSE,"B Sheet";"Capex phased",#N/A,FALSE,"Capex"}</definedName>
    <definedName name="wrn.Results._.and._.Summary." localSheetId="1" hidden="1">{#N/A,#N/A,FALSE,"Marka Results";#N/A,#N/A,FALSE,"Aqaba Results";#N/A,#N/A,FALSE,"QAIA Results";#N/A,#N/A,FALSE,"Cons Airports Results";#N/A,#N/A,FALSE,"ANS Results";#N/A,#N/A,FALSE,"QNTC Results";#N/A,#N/A,FALSE,"R&amp;S Results";#N/A,#N/A,FALSE,"Corporate results";#N/A,#N/A,FALSE,"Cons CAA Results";#N/A,#N/A,FALSE,"Summary"}</definedName>
    <definedName name="wrn.Results._.and._.Summary." localSheetId="3" hidden="1">{#N/A,#N/A,FALSE,"Marka Results";#N/A,#N/A,FALSE,"Aqaba Results";#N/A,#N/A,FALSE,"QAIA Results";#N/A,#N/A,FALSE,"Cons Airports Results";#N/A,#N/A,FALSE,"ANS Results";#N/A,#N/A,FALSE,"QNTC Results";#N/A,#N/A,FALSE,"R&amp;S Results";#N/A,#N/A,FALSE,"Corporate results";#N/A,#N/A,FALSE,"Cons CAA Results";#N/A,#N/A,FALSE,"Summary"}</definedName>
    <definedName name="wrn.Results._.and._.Summary." hidden="1">{#N/A,#N/A,FALSE,"Marka Results";#N/A,#N/A,FALSE,"Aqaba Results";#N/A,#N/A,FALSE,"QAIA Results";#N/A,#N/A,FALSE,"Cons Airports Results";#N/A,#N/A,FALSE,"ANS Results";#N/A,#N/A,FALSE,"QNTC Results";#N/A,#N/A,FALSE,"R&amp;S Results";#N/A,#N/A,FALSE,"Corporate results";#N/A,#N/A,FALSE,"Cons CAA Results";#N/A,#N/A,FALSE,"Summary"}</definedName>
    <definedName name="wrn.wpapers." localSheetId="1" hidden="1">{"bal",#N/A,FALSE,"working papers";"income",#N/A,FALSE,"working papers"}</definedName>
    <definedName name="wrn.wpapers." localSheetId="3" hidden="1">{"bal",#N/A,FALSE,"working papers";"income",#N/A,FALSE,"working papers"}</definedName>
    <definedName name="wrn.wpapers.">{"bal",#N/A,FALSE,"working papers";"income",#N/A,FALSE,"working papers"}</definedName>
    <definedName name="ww" localSheetId="1" hidden="1">{"mass bal",#N/A,FALSE,"Standard_mass_bal_template";"ied sheet",#N/A,FALSE,"Standard_mass_bal_template"}</definedName>
    <definedName name="ww" localSheetId="3" hidden="1">{"mass bal",#N/A,FALSE,"Standard_mass_bal_template";"ied sheet",#N/A,FALSE,"Standard_mass_bal_template"}</definedName>
    <definedName name="ww" hidden="1">{"mass bal",#N/A,FALSE,"Standard_mass_bal_template";"ied sheet",#N/A,FALSE,"Standard_mass_bal_template"}</definedName>
    <definedName name="www" localSheetId="1" hidden="1">{"mass bal",#N/A,FALSE,"Standard_mass_bal_template";"ied sheet",#N/A,FALSE,"Standard_mass_bal_template"}</definedName>
    <definedName name="www" localSheetId="3" hidden="1">{"mass bal",#N/A,FALSE,"Standard_mass_bal_template";"ied sheet",#N/A,FALSE,"Standard_mass_bal_template"}</definedName>
    <definedName name="www" hidden="1">{"mass bal",#N/A,FALSE,"Standard_mass_bal_template";"ied sheet",#N/A,FALSE,"Standard_mass_bal_template"}</definedName>
    <definedName name="wwww" localSheetId="1" hidden="1">{"mass bal",#N/A,FALSE,"Standard_mass_bal_template";"ied sheet",#N/A,FALSE,"Standard_mass_bal_template"}</definedName>
    <definedName name="wwww" localSheetId="3" hidden="1">{"mass bal",#N/A,FALSE,"Standard_mass_bal_template";"ied sheet",#N/A,FALSE,"Standard_mass_bal_template"}</definedName>
    <definedName name="wwww" hidden="1">{"mass bal",#N/A,FALSE,"Standard_mass_bal_template";"ied sheet",#N/A,FALSE,"Standard_mass_bal_template"}</definedName>
    <definedName name="wwwwwww" localSheetId="1" hidden="1">{"mass bal",#N/A,FALSE,"Standard_mass_bal_template";"ied sheet",#N/A,FALSE,"Standard_mass_bal_template"}</definedName>
    <definedName name="wwwwwww" localSheetId="3" hidden="1">{"mass bal",#N/A,FALSE,"Standard_mass_bal_template";"ied sheet",#N/A,FALSE,"Standard_mass_bal_template"}</definedName>
    <definedName name="wwwwwww" hidden="1">{"mass bal",#N/A,FALSE,"Standard_mass_bal_template";"ied sheet",#N/A,FALSE,"Standard_mass_bal_template"}</definedName>
    <definedName name="xc" localSheetId="1" hidden="1">{"mass bal",#N/A,FALSE,"Standard_mass_bal_template";"ied sheet",#N/A,FALSE,"Standard_mass_bal_template"}</definedName>
    <definedName name="xc" localSheetId="3" hidden="1">{"mass bal",#N/A,FALSE,"Standard_mass_bal_template";"ied sheet",#N/A,FALSE,"Standard_mass_bal_template"}</definedName>
    <definedName name="xc" hidden="1">{"mass bal",#N/A,FALSE,"Standard_mass_bal_template";"ied sheet",#N/A,FALSE,"Standard_mass_bal_template"}</definedName>
    <definedName name="xv" localSheetId="1" hidden="1">{"mass bal",#N/A,FALSE,"Standard_mass_bal_template";"ied sheet",#N/A,FALSE,"Standard_mass_bal_template"}</definedName>
    <definedName name="xv" localSheetId="3" hidden="1">{"mass bal",#N/A,FALSE,"Standard_mass_bal_template";"ied sheet",#N/A,FALSE,"Standard_mass_bal_template"}</definedName>
    <definedName name="xv" hidden="1">{"mass bal",#N/A,FALSE,"Standard_mass_bal_template";"ied sheet",#N/A,FALSE,"Standard_mass_bal_template"}</definedName>
    <definedName name="xxx" localSheetId="1" hidden="1">{"CHARGE",#N/A,FALSE,"401C11"}</definedName>
    <definedName name="xxx" localSheetId="3" hidden="1">{"CHARGE",#N/A,FALSE,"401C11"}</definedName>
    <definedName name="xxx" hidden="1">{"CHARGE",#N/A,FALSE,"401C11"}</definedName>
    <definedName name="xyzzyz" localSheetId="1" hidden="1">{"mass bal",#N/A,FALSE,"Standard_mass_bal_template";"ied sheet",#N/A,FALSE,"Standard_mass_bal_template"}</definedName>
    <definedName name="xyzzyz" localSheetId="3" hidden="1">{"mass bal",#N/A,FALSE,"Standard_mass_bal_template";"ied sheet",#N/A,FALSE,"Standard_mass_bal_template"}</definedName>
    <definedName name="xyzzyz" hidden="1">{"mass bal",#N/A,FALSE,"Standard_mass_bal_template";"ied sheet",#N/A,FALSE,"Standard_mass_bal_template"}</definedName>
    <definedName name="yui" localSheetId="1" hidden="1">{"mass bal",#N/A,FALSE,"Standard_mass_bal_template";"ied sheet",#N/A,FALSE,"Standard_mass_bal_template"}</definedName>
    <definedName name="yui" localSheetId="3" hidden="1">{"mass bal",#N/A,FALSE,"Standard_mass_bal_template";"ied sheet",#N/A,FALSE,"Standard_mass_bal_template"}</definedName>
    <definedName name="yui" hidden="1">{"mass bal",#N/A,FALSE,"Standard_mass_bal_template";"ied sheet",#N/A,FALSE,"Standard_mass_bal_template"}</definedName>
    <definedName name="yyy" localSheetId="1" hidden="1">{"GROSS",#N/A,FALSE,"401C11"}</definedName>
    <definedName name="yyy" localSheetId="3" hidden="1">{"GROSS",#N/A,FALSE,"401C11"}</definedName>
    <definedName name="yyy" hidden="1">{"GROSS",#N/A,FALSE,"401C11"}</definedName>
    <definedName name="zdf" localSheetId="1" hidden="1">{"mass bal",#N/A,FALSE,"Standard_mass_bal_template";"ied sheet",#N/A,FALSE,"Standard_mass_bal_template"}</definedName>
    <definedName name="zdf" localSheetId="3" hidden="1">{"mass bal",#N/A,FALSE,"Standard_mass_bal_template";"ied sheet",#N/A,FALSE,"Standard_mass_bal_template"}</definedName>
    <definedName name="zdf" hidden="1">{"mass bal",#N/A,FALSE,"Standard_mass_bal_template";"ied sheet",#N/A,FALSE,"Standard_mass_bal_template"}</definedName>
    <definedName name="zzz" localSheetId="1" hidden="1">{"NET",#N/A,FALSE,"401C11"}</definedName>
    <definedName name="zzz" localSheetId="3" hidden="1">{"NET",#N/A,FALSE,"401C11"}</definedName>
    <definedName name="zzz" hidden="1">{"NET",#N/A,FALSE,"401C11"}</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 i="82" l="1"/>
  <c r="C7" i="84"/>
  <c r="I36" i="82"/>
  <c r="I32" i="82"/>
  <c r="I33" i="82"/>
  <c r="I35" i="82" l="1"/>
  <c r="I34" i="82"/>
  <c r="I31" i="82"/>
  <c r="I30" i="82"/>
  <c r="I27" i="82"/>
  <c r="I28" i="82"/>
  <c r="A1" i="66" l="1"/>
  <c r="A1" i="84"/>
  <c r="A1" i="104"/>
  <c r="A1" i="71"/>
  <c r="A1" i="38"/>
  <c r="A1" i="41"/>
  <c r="A1" i="78"/>
  <c r="A1" i="76"/>
  <c r="A1" i="105"/>
  <c r="A1" i="65"/>
  <c r="A1" i="68"/>
  <c r="A1" i="98"/>
  <c r="A1" i="72"/>
  <c r="A1" i="69"/>
  <c r="A1" i="101"/>
  <c r="A1" i="94"/>
  <c r="I7" i="82"/>
  <c r="I8" i="82"/>
  <c r="I9" i="82"/>
  <c r="I10" i="82"/>
  <c r="I29" i="82"/>
  <c r="I11" i="82"/>
  <c r="I12" i="82"/>
  <c r="I13" i="82"/>
  <c r="I14" i="82"/>
  <c r="I15" i="82"/>
  <c r="I16" i="82"/>
  <c r="I17" i="82"/>
  <c r="I18" i="82"/>
  <c r="I19" i="82"/>
  <c r="I20" i="82"/>
  <c r="I21" i="82"/>
  <c r="I22" i="82"/>
  <c r="I23" i="82"/>
  <c r="I6" i="82"/>
  <c r="G46" i="78" l="1"/>
  <c r="K46" i="65" l="1"/>
  <c r="G38" i="78" s="1"/>
  <c r="E51" i="105" l="1"/>
  <c r="D4" i="72"/>
  <c r="E7" i="68" s="1"/>
  <c r="E4" i="72"/>
  <c r="F4" i="72"/>
  <c r="G4" i="72"/>
  <c r="H4" i="72"/>
  <c r="I25" i="69"/>
  <c r="G31" i="78" s="1"/>
  <c r="I26" i="69"/>
  <c r="G8" i="78" s="1"/>
  <c r="I27" i="69"/>
  <c r="G15" i="78" s="1"/>
  <c r="I28" i="69"/>
  <c r="G29" i="78" s="1"/>
  <c r="I29" i="69"/>
  <c r="G22" i="78" s="1"/>
  <c r="I31" i="69"/>
  <c r="G27" i="78" s="1"/>
  <c r="I32" i="69"/>
  <c r="G6" i="78" s="1"/>
  <c r="I33" i="69"/>
  <c r="G35" i="78" s="1"/>
  <c r="I34" i="69"/>
  <c r="G7" i="78" s="1"/>
  <c r="I35" i="69"/>
  <c r="G25" i="78" s="1"/>
  <c r="I36" i="69"/>
  <c r="G17" i="78" s="1"/>
  <c r="I37" i="69"/>
  <c r="G11" i="78" s="1"/>
  <c r="I38" i="69"/>
  <c r="G14" i="78" s="1"/>
  <c r="I39" i="69"/>
  <c r="G45" i="78" s="1"/>
  <c r="I40" i="69"/>
  <c r="G26" i="78" s="1"/>
  <c r="I41" i="69"/>
  <c r="G37" i="78" s="1"/>
  <c r="I42" i="69"/>
  <c r="G41" i="78" s="1"/>
  <c r="I21" i="69" l="1"/>
  <c r="G16" i="78" s="1"/>
  <c r="E52" i="76"/>
  <c r="G52" i="76" s="1"/>
  <c r="J52" i="76" s="1"/>
  <c r="E53" i="76"/>
  <c r="G53" i="76" s="1"/>
  <c r="E54" i="76"/>
  <c r="G54" i="76" s="1"/>
  <c r="J54" i="76" s="1"/>
  <c r="E55" i="76"/>
  <c r="G55" i="76" s="1"/>
  <c r="E56" i="76"/>
  <c r="G56" i="76" s="1"/>
  <c r="E57" i="76"/>
  <c r="G57" i="76" s="1"/>
  <c r="E58" i="76"/>
  <c r="G58" i="76" s="1"/>
  <c r="E59" i="76"/>
  <c r="G59" i="76" s="1"/>
  <c r="E60" i="76"/>
  <c r="G60" i="76" s="1"/>
  <c r="E61" i="76"/>
  <c r="G61" i="76" s="1"/>
  <c r="E62" i="76"/>
  <c r="G62" i="76" s="1"/>
  <c r="E63" i="76"/>
  <c r="G63" i="76" s="1"/>
  <c r="E64" i="76"/>
  <c r="G64" i="76" s="1"/>
  <c r="E65" i="76"/>
  <c r="G65" i="76" s="1"/>
  <c r="E66" i="76"/>
  <c r="G66" i="76" s="1"/>
  <c r="E67" i="76"/>
  <c r="G67" i="76" s="1"/>
  <c r="E68" i="76"/>
  <c r="G68" i="76" s="1"/>
  <c r="E69" i="76"/>
  <c r="G69" i="76" s="1"/>
  <c r="E70" i="76"/>
  <c r="G70" i="76" s="1"/>
  <c r="E71" i="76"/>
  <c r="G71" i="76" s="1"/>
  <c r="E72" i="76"/>
  <c r="G72" i="76" s="1"/>
  <c r="E51" i="76"/>
  <c r="G51" i="76" s="1"/>
  <c r="J51" i="76" s="1"/>
  <c r="H7" i="72"/>
  <c r="G7" i="72"/>
  <c r="F7" i="72"/>
  <c r="E7" i="72"/>
  <c r="D7" i="72"/>
  <c r="J18" i="78"/>
  <c r="J29" i="78"/>
  <c r="J32" i="78"/>
  <c r="K32" i="78" s="1"/>
  <c r="J33" i="78"/>
  <c r="K33" i="78" s="1"/>
  <c r="J34" i="78"/>
  <c r="K34" i="78" s="1"/>
  <c r="J36" i="78"/>
  <c r="K36" i="78" s="1"/>
  <c r="J45" i="78"/>
  <c r="K45" i="78" s="1"/>
  <c r="J46" i="78"/>
  <c r="K46" i="78" s="1"/>
  <c r="K25" i="78"/>
  <c r="L5" i="65"/>
  <c r="L6" i="65"/>
  <c r="L10" i="65"/>
  <c r="L13" i="65"/>
  <c r="L14" i="65"/>
  <c r="L15" i="65"/>
  <c r="L16" i="65"/>
  <c r="L17" i="65"/>
  <c r="L19" i="65"/>
  <c r="L20" i="65"/>
  <c r="I7" i="72" l="1"/>
  <c r="G42" i="78" s="1"/>
  <c r="K30" i="78"/>
  <c r="J55" i="76"/>
  <c r="J53" i="76"/>
  <c r="K31" i="78"/>
  <c r="K29" i="78"/>
  <c r="C50" i="105"/>
  <c r="E50" i="105" s="1"/>
  <c r="C49" i="105"/>
  <c r="E49" i="105" l="1"/>
  <c r="C52" i="105"/>
  <c r="J56" i="76"/>
  <c r="J57" i="76"/>
  <c r="E52" i="105" l="1"/>
  <c r="J17" i="38" s="1"/>
  <c r="J27" i="38" s="1"/>
  <c r="J59" i="76"/>
  <c r="J58" i="76"/>
  <c r="M37" i="105"/>
  <c r="N37" i="105"/>
  <c r="O37" i="105"/>
  <c r="G37" i="105"/>
  <c r="F37" i="105"/>
  <c r="H36" i="105"/>
  <c r="I36" i="105" s="1"/>
  <c r="J36" i="105" s="1"/>
  <c r="L36" i="105" s="1"/>
  <c r="H35" i="105"/>
  <c r="I35" i="105" s="1"/>
  <c r="J35" i="105" s="1"/>
  <c r="L35" i="105" s="1"/>
  <c r="H34" i="105"/>
  <c r="I34" i="105" s="1"/>
  <c r="J34" i="105" s="1"/>
  <c r="L34" i="105" s="1"/>
  <c r="H33" i="105"/>
  <c r="I33" i="105" s="1"/>
  <c r="J33" i="105" s="1"/>
  <c r="L33" i="105" s="1"/>
  <c r="H32" i="105"/>
  <c r="I32" i="105" s="1"/>
  <c r="J32" i="105" s="1"/>
  <c r="L32" i="105" s="1"/>
  <c r="H31" i="105"/>
  <c r="I31" i="105" s="1"/>
  <c r="J31" i="105" s="1"/>
  <c r="L31" i="105" s="1"/>
  <c r="H30" i="105"/>
  <c r="I30" i="105" s="1"/>
  <c r="J30" i="105" s="1"/>
  <c r="L30" i="105" s="1"/>
  <c r="H29" i="105"/>
  <c r="I29" i="105" s="1"/>
  <c r="J29" i="105" s="1"/>
  <c r="L29" i="105" s="1"/>
  <c r="N29" i="78" s="1"/>
  <c r="H28" i="105"/>
  <c r="I28" i="105" s="1"/>
  <c r="J28" i="105" s="1"/>
  <c r="L28" i="105" s="1"/>
  <c r="H27" i="105"/>
  <c r="I27" i="105" s="1"/>
  <c r="J27" i="105" s="1"/>
  <c r="L27" i="105" s="1"/>
  <c r="H26" i="105"/>
  <c r="I26" i="105" s="1"/>
  <c r="J26" i="105" s="1"/>
  <c r="L26" i="105" s="1"/>
  <c r="H25" i="105"/>
  <c r="I25" i="105" s="1"/>
  <c r="J25" i="105" s="1"/>
  <c r="L25" i="105" s="1"/>
  <c r="H24" i="105"/>
  <c r="I24" i="105" s="1"/>
  <c r="J24" i="105" s="1"/>
  <c r="L24" i="105" s="1"/>
  <c r="H23" i="105"/>
  <c r="I23" i="105" s="1"/>
  <c r="J23" i="105" s="1"/>
  <c r="L23" i="105" s="1"/>
  <c r="H22" i="105"/>
  <c r="I22" i="105" s="1"/>
  <c r="J22" i="105" s="1"/>
  <c r="L22" i="105" s="1"/>
  <c r="H21" i="105"/>
  <c r="I21" i="105" s="1"/>
  <c r="J21" i="105" s="1"/>
  <c r="L21" i="105" s="1"/>
  <c r="H20" i="105"/>
  <c r="I20" i="105" s="1"/>
  <c r="J20" i="105" s="1"/>
  <c r="L20" i="105" s="1"/>
  <c r="H19" i="105"/>
  <c r="I19" i="105" s="1"/>
  <c r="J19" i="105" s="1"/>
  <c r="L19" i="105" s="1"/>
  <c r="H18" i="105"/>
  <c r="I18" i="105" s="1"/>
  <c r="J18" i="105" s="1"/>
  <c r="L18" i="105" s="1"/>
  <c r="H17" i="105"/>
  <c r="I17" i="105" s="1"/>
  <c r="J17" i="105" s="1"/>
  <c r="L17" i="105" s="1"/>
  <c r="H16" i="105"/>
  <c r="I16" i="105" s="1"/>
  <c r="J16" i="105" s="1"/>
  <c r="L16" i="105" s="1"/>
  <c r="H15" i="105"/>
  <c r="I15" i="105" s="1"/>
  <c r="J15" i="105" s="1"/>
  <c r="L15" i="105" s="1"/>
  <c r="H14" i="105"/>
  <c r="I14" i="105" s="1"/>
  <c r="J14" i="105" s="1"/>
  <c r="L14" i="105" s="1"/>
  <c r="H13" i="105"/>
  <c r="I13" i="105" s="1"/>
  <c r="J13" i="105" s="1"/>
  <c r="L13" i="105" s="1"/>
  <c r="H12" i="105"/>
  <c r="I12" i="105" s="1"/>
  <c r="H11" i="105"/>
  <c r="I11" i="105" s="1"/>
  <c r="J11" i="105" s="1"/>
  <c r="L11" i="105" s="1"/>
  <c r="H10" i="105"/>
  <c r="I10" i="105" s="1"/>
  <c r="J10" i="105" s="1"/>
  <c r="L10" i="105" s="1"/>
  <c r="H9" i="105"/>
  <c r="I9" i="105" s="1"/>
  <c r="J9" i="105" s="1"/>
  <c r="J12" i="105" l="1"/>
  <c r="L12" i="105" s="1"/>
  <c r="Q12" i="105" s="1"/>
  <c r="J61" i="76"/>
  <c r="J60" i="76"/>
  <c r="Q26" i="105"/>
  <c r="Q29" i="105"/>
  <c r="L29" i="78" s="1"/>
  <c r="Q10" i="105"/>
  <c r="Q32" i="105"/>
  <c r="Q28" i="105"/>
  <c r="L9" i="105"/>
  <c r="Q22" i="105"/>
  <c r="Q33" i="105"/>
  <c r="Q15" i="105"/>
  <c r="Q30" i="105"/>
  <c r="Q31" i="105"/>
  <c r="Q34" i="105"/>
  <c r="Q17" i="105"/>
  <c r="Q19" i="105"/>
  <c r="Q21" i="105"/>
  <c r="Q11" i="105"/>
  <c r="Q23" i="105"/>
  <c r="Q18" i="105"/>
  <c r="Q20" i="105"/>
  <c r="Q13" i="105"/>
  <c r="Q24" i="105"/>
  <c r="Q35" i="105"/>
  <c r="Q27" i="105"/>
  <c r="Q14" i="105"/>
  <c r="Q25" i="105"/>
  <c r="Q36" i="105"/>
  <c r="L42" i="78" s="1"/>
  <c r="Q16" i="105"/>
  <c r="K8" i="101"/>
  <c r="G8" i="76"/>
  <c r="G27" i="76"/>
  <c r="G26" i="76"/>
  <c r="G25" i="76"/>
  <c r="J37" i="105" l="1"/>
  <c r="J63" i="76"/>
  <c r="J62" i="76"/>
  <c r="F25" i="76"/>
  <c r="Q9" i="105"/>
  <c r="L37" i="105"/>
  <c r="F16" i="104"/>
  <c r="G16" i="104"/>
  <c r="H16" i="104"/>
  <c r="I16" i="104"/>
  <c r="J16" i="104"/>
  <c r="K16" i="104"/>
  <c r="L16" i="104"/>
  <c r="M16" i="104"/>
  <c r="F17" i="104"/>
  <c r="G17" i="104"/>
  <c r="H17" i="104"/>
  <c r="I17" i="104"/>
  <c r="J17" i="104"/>
  <c r="K17" i="104"/>
  <c r="L17" i="104"/>
  <c r="M17" i="104"/>
  <c r="F18" i="104"/>
  <c r="G18" i="104"/>
  <c r="H18" i="104"/>
  <c r="I18" i="104"/>
  <c r="J18" i="104"/>
  <c r="K18" i="104"/>
  <c r="L18" i="104"/>
  <c r="M18" i="104"/>
  <c r="F24" i="104"/>
  <c r="G24" i="104"/>
  <c r="H24" i="104"/>
  <c r="I24" i="104"/>
  <c r="J24" i="104"/>
  <c r="K24" i="104"/>
  <c r="L24" i="104"/>
  <c r="M24" i="104"/>
  <c r="F25" i="104"/>
  <c r="G25" i="104"/>
  <c r="H25" i="104"/>
  <c r="I25" i="104"/>
  <c r="J25" i="104"/>
  <c r="K25" i="104"/>
  <c r="L25" i="104"/>
  <c r="M25" i="104"/>
  <c r="F26" i="104"/>
  <c r="G26" i="104"/>
  <c r="H26" i="104"/>
  <c r="I26" i="104"/>
  <c r="J26" i="104"/>
  <c r="K26" i="104"/>
  <c r="L26" i="104"/>
  <c r="M26" i="104"/>
  <c r="F32" i="104"/>
  <c r="G32" i="104"/>
  <c r="H32" i="104"/>
  <c r="I32" i="104"/>
  <c r="J32" i="104"/>
  <c r="K32" i="104"/>
  <c r="L32" i="104"/>
  <c r="M32" i="104"/>
  <c r="F33" i="104"/>
  <c r="G33" i="104"/>
  <c r="H33" i="104"/>
  <c r="I33" i="104"/>
  <c r="J33" i="104"/>
  <c r="K33" i="104"/>
  <c r="L33" i="104"/>
  <c r="M33" i="104"/>
  <c r="F34" i="104"/>
  <c r="G34" i="104"/>
  <c r="H34" i="104"/>
  <c r="I34" i="104"/>
  <c r="J34" i="104"/>
  <c r="K34" i="104"/>
  <c r="L34" i="104"/>
  <c r="M34" i="104"/>
  <c r="F40" i="104"/>
  <c r="G40" i="104"/>
  <c r="H40" i="104"/>
  <c r="I40" i="104"/>
  <c r="J40" i="104"/>
  <c r="K40" i="104"/>
  <c r="L40" i="104"/>
  <c r="M40" i="104"/>
  <c r="F41" i="104"/>
  <c r="G41" i="104"/>
  <c r="H41" i="104"/>
  <c r="I41" i="104"/>
  <c r="J41" i="104"/>
  <c r="K41" i="104"/>
  <c r="L41" i="104"/>
  <c r="M41" i="104"/>
  <c r="F42" i="104"/>
  <c r="G42" i="104"/>
  <c r="H42" i="104"/>
  <c r="I42" i="104"/>
  <c r="J42" i="104"/>
  <c r="K42" i="104"/>
  <c r="L42" i="104"/>
  <c r="M42" i="104"/>
  <c r="F48" i="104"/>
  <c r="G48" i="104"/>
  <c r="H48" i="104"/>
  <c r="I48" i="104"/>
  <c r="J48" i="104"/>
  <c r="K48" i="104"/>
  <c r="L48" i="104"/>
  <c r="M48" i="104"/>
  <c r="F49" i="104"/>
  <c r="G49" i="104"/>
  <c r="H49" i="104"/>
  <c r="I49" i="104"/>
  <c r="J49" i="104"/>
  <c r="K49" i="104"/>
  <c r="L49" i="104"/>
  <c r="M49" i="104"/>
  <c r="F50" i="104"/>
  <c r="G50" i="104"/>
  <c r="H50" i="104"/>
  <c r="I50" i="104"/>
  <c r="J50" i="104"/>
  <c r="K50" i="104"/>
  <c r="L50" i="104"/>
  <c r="M50" i="104"/>
  <c r="F56" i="104"/>
  <c r="G56" i="104"/>
  <c r="H56" i="104"/>
  <c r="I56" i="104"/>
  <c r="J56" i="104"/>
  <c r="K56" i="104"/>
  <c r="L56" i="104"/>
  <c r="M56" i="104"/>
  <c r="F57" i="104"/>
  <c r="G57" i="104"/>
  <c r="H57" i="104"/>
  <c r="I57" i="104"/>
  <c r="J57" i="104"/>
  <c r="K57" i="104"/>
  <c r="L57" i="104"/>
  <c r="M57" i="104"/>
  <c r="F58" i="104"/>
  <c r="G58" i="104"/>
  <c r="H58" i="104"/>
  <c r="I58" i="104"/>
  <c r="J58" i="104"/>
  <c r="K58" i="104"/>
  <c r="L58" i="104"/>
  <c r="M58" i="104"/>
  <c r="F64" i="104"/>
  <c r="G64" i="104"/>
  <c r="H64" i="104"/>
  <c r="I64" i="104"/>
  <c r="J64" i="104"/>
  <c r="K64" i="104"/>
  <c r="L64" i="104"/>
  <c r="M64" i="104"/>
  <c r="F65" i="104"/>
  <c r="G65" i="104"/>
  <c r="H65" i="104"/>
  <c r="I65" i="104"/>
  <c r="J65" i="104"/>
  <c r="K65" i="104"/>
  <c r="L65" i="104"/>
  <c r="M65" i="104"/>
  <c r="F66" i="104"/>
  <c r="G66" i="104"/>
  <c r="H66" i="104"/>
  <c r="I66" i="104"/>
  <c r="J66" i="104"/>
  <c r="K66" i="104"/>
  <c r="L66" i="104"/>
  <c r="M66" i="104"/>
  <c r="F72" i="104"/>
  <c r="G72" i="104"/>
  <c r="H72" i="104"/>
  <c r="I72" i="104"/>
  <c r="J72" i="104"/>
  <c r="K72" i="104"/>
  <c r="L72" i="104"/>
  <c r="M72" i="104"/>
  <c r="F73" i="104"/>
  <c r="G73" i="104"/>
  <c r="H73" i="104"/>
  <c r="I73" i="104"/>
  <c r="J73" i="104"/>
  <c r="K73" i="104"/>
  <c r="L73" i="104"/>
  <c r="M73" i="104"/>
  <c r="F74" i="104"/>
  <c r="G74" i="104"/>
  <c r="H74" i="104"/>
  <c r="I74" i="104"/>
  <c r="J74" i="104"/>
  <c r="K74" i="104"/>
  <c r="L74" i="104"/>
  <c r="M74" i="104"/>
  <c r="F80" i="104"/>
  <c r="G80" i="104"/>
  <c r="H80" i="104"/>
  <c r="I80" i="104"/>
  <c r="J80" i="104"/>
  <c r="K80" i="104"/>
  <c r="L80" i="104"/>
  <c r="M80" i="104"/>
  <c r="F81" i="104"/>
  <c r="G81" i="104"/>
  <c r="H81" i="104"/>
  <c r="I81" i="104"/>
  <c r="J81" i="104"/>
  <c r="K81" i="104"/>
  <c r="L81" i="104"/>
  <c r="M81" i="104"/>
  <c r="F82" i="104"/>
  <c r="G82" i="104"/>
  <c r="H82" i="104"/>
  <c r="I82" i="104"/>
  <c r="J82" i="104"/>
  <c r="K82" i="104"/>
  <c r="L82" i="104"/>
  <c r="M82" i="104"/>
  <c r="F88" i="104"/>
  <c r="G88" i="104"/>
  <c r="H88" i="104"/>
  <c r="I88" i="104"/>
  <c r="J88" i="104"/>
  <c r="K88" i="104"/>
  <c r="L88" i="104"/>
  <c r="M88" i="104"/>
  <c r="F89" i="104"/>
  <c r="G89" i="104"/>
  <c r="H89" i="104"/>
  <c r="I89" i="104"/>
  <c r="J89" i="104"/>
  <c r="K89" i="104"/>
  <c r="L89" i="104"/>
  <c r="M89" i="104"/>
  <c r="F90" i="104"/>
  <c r="G90" i="104"/>
  <c r="H90" i="104"/>
  <c r="I90" i="104"/>
  <c r="J90" i="104"/>
  <c r="K90" i="104"/>
  <c r="L90" i="104"/>
  <c r="M90" i="104"/>
  <c r="F96" i="104"/>
  <c r="G96" i="104"/>
  <c r="H96" i="104"/>
  <c r="I96" i="104"/>
  <c r="J96" i="104"/>
  <c r="K96" i="104"/>
  <c r="L96" i="104"/>
  <c r="M96" i="104"/>
  <c r="F97" i="104"/>
  <c r="G97" i="104"/>
  <c r="H97" i="104"/>
  <c r="I97" i="104"/>
  <c r="J97" i="104"/>
  <c r="K97" i="104"/>
  <c r="L97" i="104"/>
  <c r="M97" i="104"/>
  <c r="F98" i="104"/>
  <c r="G98" i="104"/>
  <c r="H98" i="104"/>
  <c r="I98" i="104"/>
  <c r="J98" i="104"/>
  <c r="K98" i="104"/>
  <c r="L98" i="104"/>
  <c r="M98" i="104"/>
  <c r="F104" i="104"/>
  <c r="G104" i="104"/>
  <c r="H104" i="104"/>
  <c r="I104" i="104"/>
  <c r="J104" i="104"/>
  <c r="K104" i="104"/>
  <c r="L104" i="104"/>
  <c r="M104" i="104"/>
  <c r="F105" i="104"/>
  <c r="G105" i="104"/>
  <c r="H105" i="104"/>
  <c r="I105" i="104"/>
  <c r="J105" i="104"/>
  <c r="K105" i="104"/>
  <c r="L105" i="104"/>
  <c r="M105" i="104"/>
  <c r="F106" i="104"/>
  <c r="G106" i="104"/>
  <c r="H106" i="104"/>
  <c r="I106" i="104"/>
  <c r="J106" i="104"/>
  <c r="K106" i="104"/>
  <c r="L106" i="104"/>
  <c r="M106" i="104"/>
  <c r="F112" i="104"/>
  <c r="G112" i="104"/>
  <c r="H112" i="104"/>
  <c r="I112" i="104"/>
  <c r="J112" i="104"/>
  <c r="K112" i="104"/>
  <c r="L112" i="104"/>
  <c r="M112" i="104"/>
  <c r="F113" i="104"/>
  <c r="G113" i="104"/>
  <c r="H113" i="104"/>
  <c r="I113" i="104"/>
  <c r="J113" i="104"/>
  <c r="K113" i="104"/>
  <c r="L113" i="104"/>
  <c r="M113" i="104"/>
  <c r="F114" i="104"/>
  <c r="G114" i="104"/>
  <c r="H114" i="104"/>
  <c r="I114" i="104"/>
  <c r="J114" i="104"/>
  <c r="K114" i="104"/>
  <c r="L114" i="104"/>
  <c r="M114" i="104"/>
  <c r="F120" i="104"/>
  <c r="G120" i="104"/>
  <c r="H120" i="104"/>
  <c r="I120" i="104"/>
  <c r="J120" i="104"/>
  <c r="K120" i="104"/>
  <c r="L120" i="104"/>
  <c r="M120" i="104"/>
  <c r="F121" i="104"/>
  <c r="G121" i="104"/>
  <c r="H121" i="104"/>
  <c r="I121" i="104"/>
  <c r="J121" i="104"/>
  <c r="K121" i="104"/>
  <c r="L121" i="104"/>
  <c r="M121" i="104"/>
  <c r="F122" i="104"/>
  <c r="G122" i="104"/>
  <c r="H122" i="104"/>
  <c r="I122" i="104"/>
  <c r="J122" i="104"/>
  <c r="K122" i="104"/>
  <c r="L122" i="104"/>
  <c r="M122" i="104"/>
  <c r="F128" i="104"/>
  <c r="G128" i="104"/>
  <c r="H128" i="104"/>
  <c r="I128" i="104"/>
  <c r="J128" i="104"/>
  <c r="K128" i="104"/>
  <c r="L128" i="104"/>
  <c r="M128" i="104"/>
  <c r="F129" i="104"/>
  <c r="G129" i="104"/>
  <c r="H129" i="104"/>
  <c r="I129" i="104"/>
  <c r="J129" i="104"/>
  <c r="K129" i="104"/>
  <c r="L129" i="104"/>
  <c r="M129" i="104"/>
  <c r="F130" i="104"/>
  <c r="G130" i="104"/>
  <c r="H130" i="104"/>
  <c r="I130" i="104"/>
  <c r="J130" i="104"/>
  <c r="K130" i="104"/>
  <c r="L130" i="104"/>
  <c r="M130" i="104"/>
  <c r="F136" i="104"/>
  <c r="G136" i="104"/>
  <c r="H136" i="104"/>
  <c r="I136" i="104"/>
  <c r="J136" i="104"/>
  <c r="K136" i="104"/>
  <c r="L136" i="104"/>
  <c r="M136" i="104"/>
  <c r="F137" i="104"/>
  <c r="G137" i="104"/>
  <c r="H137" i="104"/>
  <c r="I137" i="104"/>
  <c r="J137" i="104"/>
  <c r="K137" i="104"/>
  <c r="L137" i="104"/>
  <c r="M137" i="104"/>
  <c r="F138" i="104"/>
  <c r="G138" i="104"/>
  <c r="H138" i="104"/>
  <c r="I138" i="104"/>
  <c r="J138" i="104"/>
  <c r="K138" i="104"/>
  <c r="L138" i="104"/>
  <c r="M138" i="104"/>
  <c r="C140" i="104"/>
  <c r="B140" i="104"/>
  <c r="C139" i="104"/>
  <c r="B139" i="104"/>
  <c r="C138" i="104"/>
  <c r="B138" i="104"/>
  <c r="C137" i="104"/>
  <c r="B137" i="104"/>
  <c r="C136" i="104"/>
  <c r="B136" i="104"/>
  <c r="C135" i="104"/>
  <c r="B135" i="104"/>
  <c r="C134" i="104"/>
  <c r="B134" i="104"/>
  <c r="C133" i="104"/>
  <c r="B133" i="104"/>
  <c r="C132" i="104"/>
  <c r="B132" i="104"/>
  <c r="C131" i="104"/>
  <c r="B131" i="104"/>
  <c r="C130" i="104"/>
  <c r="B130" i="104"/>
  <c r="C129" i="104"/>
  <c r="B129" i="104"/>
  <c r="C128" i="104"/>
  <c r="B128" i="104"/>
  <c r="C127" i="104"/>
  <c r="B127" i="104"/>
  <c r="C126" i="104"/>
  <c r="B126" i="104"/>
  <c r="C125" i="104"/>
  <c r="B125" i="104"/>
  <c r="C124" i="104"/>
  <c r="B124" i="104"/>
  <c r="C123" i="104"/>
  <c r="B123" i="104"/>
  <c r="C122" i="104"/>
  <c r="B122" i="104"/>
  <c r="C121" i="104"/>
  <c r="B121" i="104"/>
  <c r="C120" i="104"/>
  <c r="B120" i="104"/>
  <c r="C119" i="104"/>
  <c r="B119" i="104"/>
  <c r="C118" i="104"/>
  <c r="B118" i="104"/>
  <c r="C117" i="104"/>
  <c r="B117" i="104"/>
  <c r="C116" i="104"/>
  <c r="B116" i="104"/>
  <c r="C115" i="104"/>
  <c r="B115" i="104"/>
  <c r="C114" i="104"/>
  <c r="B114" i="104"/>
  <c r="C113" i="104"/>
  <c r="B113" i="104"/>
  <c r="C112" i="104"/>
  <c r="B112" i="104"/>
  <c r="C111" i="104"/>
  <c r="B111" i="104"/>
  <c r="C110" i="104"/>
  <c r="B110" i="104"/>
  <c r="C109" i="104"/>
  <c r="B109" i="104"/>
  <c r="C108" i="104"/>
  <c r="B108" i="104"/>
  <c r="C107" i="104"/>
  <c r="B107" i="104"/>
  <c r="C106" i="104"/>
  <c r="B106" i="104"/>
  <c r="C105" i="104"/>
  <c r="B105" i="104"/>
  <c r="C104" i="104"/>
  <c r="B104" i="104"/>
  <c r="C103" i="104"/>
  <c r="B103" i="104"/>
  <c r="C102" i="104"/>
  <c r="B102" i="104"/>
  <c r="C101" i="104"/>
  <c r="B101" i="104"/>
  <c r="C100" i="104"/>
  <c r="B100" i="104"/>
  <c r="C99" i="104"/>
  <c r="B99" i="104"/>
  <c r="C98" i="104"/>
  <c r="B98" i="104"/>
  <c r="C97" i="104"/>
  <c r="B97" i="104"/>
  <c r="C96" i="104"/>
  <c r="B96" i="104"/>
  <c r="C95" i="104"/>
  <c r="B95" i="104"/>
  <c r="C94" i="104"/>
  <c r="B94" i="104"/>
  <c r="C93" i="104"/>
  <c r="B93" i="104"/>
  <c r="C92" i="104"/>
  <c r="B92" i="104"/>
  <c r="C91" i="104"/>
  <c r="B91" i="104"/>
  <c r="C90" i="104"/>
  <c r="B90" i="104"/>
  <c r="C89" i="104"/>
  <c r="B89" i="104"/>
  <c r="C88" i="104"/>
  <c r="B88" i="104"/>
  <c r="C87" i="104"/>
  <c r="B87" i="104"/>
  <c r="C86" i="104"/>
  <c r="B86" i="104"/>
  <c r="C85" i="104"/>
  <c r="B85" i="104"/>
  <c r="C84" i="104"/>
  <c r="B84" i="104"/>
  <c r="C83" i="104"/>
  <c r="B83" i="104"/>
  <c r="C82" i="104"/>
  <c r="B82" i="104"/>
  <c r="C81" i="104"/>
  <c r="B81" i="104"/>
  <c r="C80" i="104"/>
  <c r="B80" i="104"/>
  <c r="C79" i="104"/>
  <c r="B79" i="104"/>
  <c r="C78" i="104"/>
  <c r="B78" i="104"/>
  <c r="C77" i="104"/>
  <c r="B77" i="104"/>
  <c r="C76" i="104"/>
  <c r="B76" i="104"/>
  <c r="C75" i="104"/>
  <c r="B75" i="104"/>
  <c r="C74" i="104"/>
  <c r="B74" i="104"/>
  <c r="C73" i="104"/>
  <c r="B73" i="104"/>
  <c r="C72" i="104"/>
  <c r="B72" i="104"/>
  <c r="C71" i="104"/>
  <c r="B71" i="104"/>
  <c r="C70" i="104"/>
  <c r="B70" i="104"/>
  <c r="C69" i="104"/>
  <c r="B69" i="104"/>
  <c r="C68" i="104"/>
  <c r="B68" i="104"/>
  <c r="C67" i="104"/>
  <c r="B67" i="104"/>
  <c r="C66" i="104"/>
  <c r="B66" i="104"/>
  <c r="C65" i="104"/>
  <c r="B65" i="104"/>
  <c r="C64" i="104"/>
  <c r="B64" i="104"/>
  <c r="C63" i="104"/>
  <c r="B63" i="104"/>
  <c r="C62" i="104"/>
  <c r="B62" i="104"/>
  <c r="C61" i="104"/>
  <c r="B61" i="104"/>
  <c r="C60" i="104"/>
  <c r="B60" i="104"/>
  <c r="C59" i="104"/>
  <c r="B59" i="104"/>
  <c r="C58" i="104"/>
  <c r="B58" i="104"/>
  <c r="C57" i="104"/>
  <c r="B57" i="104"/>
  <c r="C56" i="104"/>
  <c r="B56" i="104"/>
  <c r="C55" i="104"/>
  <c r="B55" i="104"/>
  <c r="C54" i="104"/>
  <c r="B54" i="104"/>
  <c r="C53" i="104"/>
  <c r="B53" i="104"/>
  <c r="C52" i="104"/>
  <c r="B52" i="104"/>
  <c r="C51" i="104"/>
  <c r="B51" i="104"/>
  <c r="C50" i="104"/>
  <c r="B50" i="104"/>
  <c r="C49" i="104"/>
  <c r="B49" i="104"/>
  <c r="C48" i="104"/>
  <c r="B48" i="104"/>
  <c r="C47" i="104"/>
  <c r="B47" i="104"/>
  <c r="C46" i="104"/>
  <c r="B46" i="104"/>
  <c r="C45" i="104"/>
  <c r="B45" i="104"/>
  <c r="C44" i="104"/>
  <c r="B44" i="104"/>
  <c r="C43" i="104"/>
  <c r="B43" i="104"/>
  <c r="C42" i="104"/>
  <c r="B42" i="104"/>
  <c r="C41" i="104"/>
  <c r="B41" i="104"/>
  <c r="C40" i="104"/>
  <c r="B40" i="104"/>
  <c r="C39" i="104"/>
  <c r="B39" i="104"/>
  <c r="C38" i="104"/>
  <c r="B38" i="104"/>
  <c r="C37" i="104"/>
  <c r="B37" i="104"/>
  <c r="C36" i="104"/>
  <c r="B36" i="104"/>
  <c r="C35" i="104"/>
  <c r="B35" i="104"/>
  <c r="C34" i="104"/>
  <c r="B34" i="104"/>
  <c r="C33" i="104"/>
  <c r="B33" i="104"/>
  <c r="C32" i="104"/>
  <c r="B32" i="104"/>
  <c r="C31" i="104"/>
  <c r="B31" i="104"/>
  <c r="C30" i="104"/>
  <c r="B30" i="104"/>
  <c r="C29" i="104"/>
  <c r="B29" i="104"/>
  <c r="C28" i="104"/>
  <c r="B28" i="104"/>
  <c r="C27" i="104"/>
  <c r="B27" i="104"/>
  <c r="C26" i="104"/>
  <c r="B26" i="104"/>
  <c r="C25" i="104"/>
  <c r="B25" i="104"/>
  <c r="C24" i="104"/>
  <c r="B24" i="104"/>
  <c r="C23" i="104"/>
  <c r="B23" i="104"/>
  <c r="C22" i="104"/>
  <c r="B22" i="104"/>
  <c r="C21" i="104"/>
  <c r="B21" i="104"/>
  <c r="C20" i="104"/>
  <c r="B20" i="104"/>
  <c r="C19" i="104"/>
  <c r="B19" i="104"/>
  <c r="C18" i="104"/>
  <c r="B18" i="104"/>
  <c r="C17" i="104"/>
  <c r="B17" i="104"/>
  <c r="C16" i="104"/>
  <c r="B16" i="104"/>
  <c r="C15" i="104"/>
  <c r="B15" i="104"/>
  <c r="C14" i="104"/>
  <c r="B14" i="104"/>
  <c r="C13" i="104"/>
  <c r="B13" i="104"/>
  <c r="C12" i="104"/>
  <c r="B12" i="104"/>
  <c r="C11" i="104"/>
  <c r="B11" i="104"/>
  <c r="C10" i="104"/>
  <c r="B10" i="104"/>
  <c r="C9" i="104"/>
  <c r="B9" i="104"/>
  <c r="C8" i="104"/>
  <c r="B8" i="104"/>
  <c r="B7" i="104"/>
  <c r="B6" i="104"/>
  <c r="B5" i="104"/>
  <c r="M10" i="104"/>
  <c r="L10" i="104"/>
  <c r="K10" i="104"/>
  <c r="J10" i="104"/>
  <c r="I10" i="104"/>
  <c r="H10" i="104"/>
  <c r="G10" i="104"/>
  <c r="F10" i="104"/>
  <c r="M9" i="104"/>
  <c r="L9" i="104"/>
  <c r="K9" i="104"/>
  <c r="J9" i="104"/>
  <c r="I9" i="104"/>
  <c r="H9" i="104"/>
  <c r="G9" i="104"/>
  <c r="F9" i="104"/>
  <c r="M8" i="104"/>
  <c r="L8" i="104"/>
  <c r="K8" i="104"/>
  <c r="J8" i="104"/>
  <c r="I8" i="104"/>
  <c r="H8" i="104"/>
  <c r="G8" i="104"/>
  <c r="F8" i="104"/>
  <c r="J64" i="76" l="1"/>
  <c r="J65" i="76"/>
  <c r="K65" i="76" s="1"/>
  <c r="P65" i="76" s="1"/>
  <c r="R65" i="76" s="1"/>
  <c r="I36" i="76" s="1"/>
  <c r="H36" i="76" s="1"/>
  <c r="J35" i="78" s="1"/>
  <c r="K35" i="78" s="1"/>
  <c r="Q37" i="105"/>
  <c r="I45" i="78"/>
  <c r="H45" i="78" s="1"/>
  <c r="I46" i="78"/>
  <c r="H46" i="78" s="1"/>
  <c r="F46" i="78"/>
  <c r="L46" i="78" s="1"/>
  <c r="F9" i="68"/>
  <c r="G9" i="68"/>
  <c r="H9" i="68"/>
  <c r="I9" i="68"/>
  <c r="E9" i="68"/>
  <c r="F13" i="68"/>
  <c r="E13" i="68"/>
  <c r="E24" i="69"/>
  <c r="F12" i="68" s="1"/>
  <c r="F24" i="69"/>
  <c r="G12" i="68" s="1"/>
  <c r="G24" i="69"/>
  <c r="H12" i="68" s="1"/>
  <c r="H24" i="69"/>
  <c r="I12" i="68" s="1"/>
  <c r="D24" i="69"/>
  <c r="E12" i="68" s="1"/>
  <c r="G6" i="41"/>
  <c r="H11" i="38" s="1"/>
  <c r="I11" i="38" s="1"/>
  <c r="G7" i="41"/>
  <c r="H12" i="38" s="1"/>
  <c r="I12" i="38" s="1"/>
  <c r="G17" i="41"/>
  <c r="H22" i="38" s="1"/>
  <c r="I22" i="38" s="1"/>
  <c r="G18" i="41"/>
  <c r="H23" i="38" s="1"/>
  <c r="I23" i="38" s="1"/>
  <c r="G20" i="41"/>
  <c r="H25" i="38" s="1"/>
  <c r="I25" i="38" s="1"/>
  <c r="G21" i="41"/>
  <c r="H26" i="38" s="1"/>
  <c r="I26" i="38" s="1"/>
  <c r="G43" i="76"/>
  <c r="I32" i="78" s="1"/>
  <c r="H32" i="78" s="1"/>
  <c r="K55" i="76"/>
  <c r="P55" i="76" s="1"/>
  <c r="R55" i="76" s="1"/>
  <c r="K56" i="76"/>
  <c r="P56" i="76" s="1"/>
  <c r="R56" i="76" s="1"/>
  <c r="K58" i="76"/>
  <c r="P58" i="76" s="1"/>
  <c r="R58" i="76" s="1"/>
  <c r="I18" i="76" s="1"/>
  <c r="K51" i="76"/>
  <c r="P51" i="76" s="1"/>
  <c r="R51" i="76" s="1"/>
  <c r="D18" i="78"/>
  <c r="K18" i="78" s="1"/>
  <c r="K59" i="76"/>
  <c r="P59" i="76" s="1"/>
  <c r="R59" i="76" s="1"/>
  <c r="K52" i="76"/>
  <c r="P52" i="76" s="1"/>
  <c r="R52" i="76" s="1"/>
  <c r="I9" i="76" s="1"/>
  <c r="K53" i="76"/>
  <c r="P53" i="76" s="1"/>
  <c r="R53" i="76" s="1"/>
  <c r="I10" i="76" s="1"/>
  <c r="H10" i="76" s="1"/>
  <c r="J9" i="78" s="1"/>
  <c r="K9" i="78" s="1"/>
  <c r="K54" i="76"/>
  <c r="P54" i="76" s="1"/>
  <c r="R54" i="76" s="1"/>
  <c r="I11" i="76" s="1"/>
  <c r="K57" i="76"/>
  <c r="P57" i="76" s="1"/>
  <c r="R57" i="76" s="1"/>
  <c r="I16" i="76" s="1"/>
  <c r="D19" i="78"/>
  <c r="K19" i="78" s="1"/>
  <c r="K60" i="76"/>
  <c r="P60" i="76" s="1"/>
  <c r="R60" i="76" s="1"/>
  <c r="I21" i="76" s="1"/>
  <c r="K61" i="76"/>
  <c r="P61" i="76" s="1"/>
  <c r="R61" i="76" s="1"/>
  <c r="I23" i="76" s="1"/>
  <c r="H23" i="76" s="1"/>
  <c r="J23" i="78" s="1"/>
  <c r="K23" i="78" s="1"/>
  <c r="K63" i="76"/>
  <c r="P63" i="76" s="1"/>
  <c r="K64" i="76"/>
  <c r="P64" i="76" s="1"/>
  <c r="R64" i="76" s="1"/>
  <c r="I29" i="76" s="1"/>
  <c r="E10" i="68"/>
  <c r="F10" i="68"/>
  <c r="G10" i="68"/>
  <c r="H10" i="68"/>
  <c r="I10" i="68"/>
  <c r="E8" i="68"/>
  <c r="F8" i="68"/>
  <c r="G8" i="68"/>
  <c r="H8" i="68"/>
  <c r="I8" i="68"/>
  <c r="I6" i="72"/>
  <c r="G44" i="78" s="1"/>
  <c r="I5" i="72"/>
  <c r="G43" i="78" s="1"/>
  <c r="I7" i="68"/>
  <c r="H7" i="68"/>
  <c r="G7" i="68"/>
  <c r="J5" i="68"/>
  <c r="F5" i="65"/>
  <c r="F5" i="66" s="1"/>
  <c r="F6" i="65"/>
  <c r="F6" i="66" s="1"/>
  <c r="F10" i="65"/>
  <c r="F10" i="66" s="1"/>
  <c r="F30" i="69"/>
  <c r="G30" i="69"/>
  <c r="H13" i="68" s="1"/>
  <c r="H30" i="69"/>
  <c r="I13" i="68" s="1"/>
  <c r="F13" i="65"/>
  <c r="F13" i="66" s="1"/>
  <c r="I14" i="65"/>
  <c r="I14" i="66" s="1"/>
  <c r="F15" i="65"/>
  <c r="F15" i="66" s="1"/>
  <c r="F16" i="65"/>
  <c r="F16" i="66" s="1"/>
  <c r="F17" i="65"/>
  <c r="F17" i="66" s="1"/>
  <c r="F19" i="65"/>
  <c r="F19" i="66" s="1"/>
  <c r="F20" i="65"/>
  <c r="F20" i="66" s="1"/>
  <c r="G40" i="76"/>
  <c r="I30" i="78" s="1"/>
  <c r="G41" i="76"/>
  <c r="I31" i="78" s="1"/>
  <c r="I33" i="78"/>
  <c r="H33" i="78" s="1"/>
  <c r="G42" i="76"/>
  <c r="I29" i="78" s="1"/>
  <c r="I19" i="69"/>
  <c r="G39" i="78" s="1"/>
  <c r="I20" i="69"/>
  <c r="G40" i="78" s="1"/>
  <c r="K62" i="76"/>
  <c r="P62" i="76" s="1"/>
  <c r="R62" i="76" s="1"/>
  <c r="G33" i="76"/>
  <c r="F33" i="76" s="1"/>
  <c r="G34" i="76"/>
  <c r="F34" i="76" s="1"/>
  <c r="G35" i="76"/>
  <c r="G36" i="76"/>
  <c r="I35" i="78" s="1"/>
  <c r="H35" i="78" s="1"/>
  <c r="G32" i="76"/>
  <c r="F32" i="76" s="1"/>
  <c r="G28" i="76"/>
  <c r="G29" i="76"/>
  <c r="F29" i="76" s="1"/>
  <c r="G24" i="76"/>
  <c r="I37" i="78" s="1"/>
  <c r="H37" i="78" s="1"/>
  <c r="G23" i="76"/>
  <c r="I23" i="78" s="1"/>
  <c r="H23" i="78" s="1"/>
  <c r="G22" i="76"/>
  <c r="I42" i="78" s="1"/>
  <c r="H42" i="78" s="1"/>
  <c r="G21" i="76"/>
  <c r="F21" i="76" s="1"/>
  <c r="G19" i="76"/>
  <c r="I20" i="78" s="1"/>
  <c r="G20" i="76"/>
  <c r="G17" i="76"/>
  <c r="G18" i="76"/>
  <c r="I17" i="78" s="1"/>
  <c r="G16" i="76"/>
  <c r="F16" i="76" s="1"/>
  <c r="G14" i="76"/>
  <c r="I13" i="78" s="1"/>
  <c r="G15" i="76"/>
  <c r="I14" i="78" s="1"/>
  <c r="G12" i="76"/>
  <c r="I11" i="78" s="1"/>
  <c r="G13" i="76"/>
  <c r="I12" i="78" s="1"/>
  <c r="G10" i="76"/>
  <c r="F10" i="76" s="1"/>
  <c r="G11" i="76"/>
  <c r="I10" i="78" s="1"/>
  <c r="H10" i="78" s="1"/>
  <c r="G9" i="76"/>
  <c r="F9" i="76" s="1"/>
  <c r="G6" i="76"/>
  <c r="I5" i="78" s="1"/>
  <c r="G7" i="76"/>
  <c r="I6" i="78" s="1"/>
  <c r="I7" i="78"/>
  <c r="I25" i="78"/>
  <c r="G30" i="76"/>
  <c r="I40" i="78" s="1"/>
  <c r="G31" i="76"/>
  <c r="I41" i="78" s="1"/>
  <c r="I43" i="76"/>
  <c r="I41" i="76"/>
  <c r="I42" i="76"/>
  <c r="I40" i="76"/>
  <c r="G44" i="76"/>
  <c r="I44" i="76"/>
  <c r="I14" i="69"/>
  <c r="G5" i="78" s="1"/>
  <c r="B8" i="71"/>
  <c r="K8" i="71" s="1"/>
  <c r="B9" i="71"/>
  <c r="K9" i="71" s="1"/>
  <c r="B10" i="71"/>
  <c r="E10" i="71" s="1"/>
  <c r="B11" i="71"/>
  <c r="K11" i="71" s="1"/>
  <c r="K57" i="71" s="1"/>
  <c r="B12" i="71"/>
  <c r="G12" i="71" s="1"/>
  <c r="B13" i="71"/>
  <c r="G13" i="71" s="1"/>
  <c r="B14" i="71"/>
  <c r="H14" i="71" s="1"/>
  <c r="B15" i="71"/>
  <c r="B84" i="71" s="1"/>
  <c r="B16" i="71"/>
  <c r="G16" i="71" s="1"/>
  <c r="B17" i="71"/>
  <c r="E17" i="71" s="1"/>
  <c r="B18" i="71"/>
  <c r="H18" i="71" s="1"/>
  <c r="B19" i="71"/>
  <c r="K19" i="71" s="1"/>
  <c r="K65" i="71" s="1"/>
  <c r="B20" i="71"/>
  <c r="K20" i="71" s="1"/>
  <c r="K66" i="71" s="1"/>
  <c r="B21" i="71"/>
  <c r="K21" i="71" s="1"/>
  <c r="K67" i="71" s="1"/>
  <c r="B22" i="71"/>
  <c r="E22" i="71" s="1"/>
  <c r="B23" i="71"/>
  <c r="G23" i="71" s="1"/>
  <c r="B7" i="71"/>
  <c r="E7" i="71" s="1"/>
  <c r="K14" i="101"/>
  <c r="C16" i="38" s="1"/>
  <c r="I18" i="69"/>
  <c r="K9" i="101"/>
  <c r="C11" i="38" s="1"/>
  <c r="K10" i="101"/>
  <c r="C12" i="38" s="1"/>
  <c r="K11" i="101"/>
  <c r="C13" i="38" s="1"/>
  <c r="K12" i="101"/>
  <c r="C14" i="38" s="1"/>
  <c r="K13" i="101"/>
  <c r="C15" i="38" s="1"/>
  <c r="K15" i="101"/>
  <c r="C17" i="38" s="1"/>
  <c r="K16" i="101"/>
  <c r="C18" i="38" s="1"/>
  <c r="K17" i="101"/>
  <c r="C19" i="38" s="1"/>
  <c r="K18" i="101"/>
  <c r="C20" i="38" s="1"/>
  <c r="K19" i="101"/>
  <c r="C21" i="38" s="1"/>
  <c r="K20" i="101"/>
  <c r="C22" i="38" s="1"/>
  <c r="K21" i="101"/>
  <c r="C23" i="38" s="1"/>
  <c r="K22" i="101"/>
  <c r="C24" i="38" s="1"/>
  <c r="K23" i="101"/>
  <c r="C25" i="38" s="1"/>
  <c r="K24" i="101"/>
  <c r="C26" i="38" s="1"/>
  <c r="C10" i="38"/>
  <c r="I15" i="69"/>
  <c r="G20" i="78" s="1"/>
  <c r="I16" i="69"/>
  <c r="G18" i="78" s="1"/>
  <c r="I17" i="69"/>
  <c r="G36" i="78" s="1"/>
  <c r="I12" i="69"/>
  <c r="G24" i="78" s="1"/>
  <c r="I13" i="69"/>
  <c r="G23" i="78" s="1"/>
  <c r="H69" i="71"/>
  <c r="H68" i="71"/>
  <c r="H67" i="71"/>
  <c r="H66" i="71"/>
  <c r="H65" i="71"/>
  <c r="H63" i="71"/>
  <c r="H61" i="71"/>
  <c r="H60" i="71"/>
  <c r="H59" i="71"/>
  <c r="H56" i="71"/>
  <c r="H55" i="71"/>
  <c r="H54" i="71"/>
  <c r="H53" i="71"/>
  <c r="B24" i="71"/>
  <c r="K24" i="71" s="1"/>
  <c r="C21" i="41"/>
  <c r="C20" i="41"/>
  <c r="C19" i="41"/>
  <c r="C18" i="41"/>
  <c r="C17" i="41"/>
  <c r="C16" i="41"/>
  <c r="C15" i="41"/>
  <c r="C14" i="41"/>
  <c r="C13" i="41"/>
  <c r="C12" i="41"/>
  <c r="C11" i="41"/>
  <c r="C10" i="41"/>
  <c r="C9" i="41"/>
  <c r="C8" i="41"/>
  <c r="C7" i="41"/>
  <c r="C6" i="41"/>
  <c r="C5" i="41"/>
  <c r="I36" i="78"/>
  <c r="H36" i="78" s="1"/>
  <c r="I34" i="78"/>
  <c r="H34" i="78" s="1"/>
  <c r="I26" i="78"/>
  <c r="I19" i="78"/>
  <c r="J3" i="66"/>
  <c r="I3" i="66"/>
  <c r="H3" i="66"/>
  <c r="G3" i="66"/>
  <c r="F3" i="66"/>
  <c r="E3" i="66"/>
  <c r="D3" i="66"/>
  <c r="C3" i="66"/>
  <c r="B3" i="66"/>
  <c r="A3" i="66"/>
  <c r="J6" i="68"/>
  <c r="O26" i="78"/>
  <c r="O25" i="78"/>
  <c r="I23" i="69"/>
  <c r="G12" i="78" s="1"/>
  <c r="I22" i="69"/>
  <c r="G13" i="78" s="1"/>
  <c r="I11" i="69"/>
  <c r="G32" i="78" s="1"/>
  <c r="I10" i="69"/>
  <c r="G33" i="78" s="1"/>
  <c r="I9" i="69"/>
  <c r="G9" i="78" s="1"/>
  <c r="I8" i="69"/>
  <c r="G28" i="78" s="1"/>
  <c r="I7" i="69"/>
  <c r="G10" i="78" s="1"/>
  <c r="I6" i="69"/>
  <c r="G19" i="78" s="1"/>
  <c r="I5" i="69"/>
  <c r="G21" i="78" s="1"/>
  <c r="I4" i="69"/>
  <c r="G30" i="78" s="1"/>
  <c r="I24" i="78"/>
  <c r="I18" i="78"/>
  <c r="H64" i="71"/>
  <c r="H62" i="71"/>
  <c r="H57" i="71"/>
  <c r="H58" i="71"/>
  <c r="B88" i="71" l="1"/>
  <c r="C88" i="71" s="1"/>
  <c r="I9" i="78"/>
  <c r="H9" i="78" s="1"/>
  <c r="F12" i="71"/>
  <c r="K12" i="71"/>
  <c r="K58" i="71" s="1"/>
  <c r="F43" i="78"/>
  <c r="F13" i="78"/>
  <c r="F5" i="78"/>
  <c r="O24" i="78"/>
  <c r="G13" i="68"/>
  <c r="J13" i="68" s="1"/>
  <c r="L11" i="65" s="1"/>
  <c r="I30" i="69"/>
  <c r="G34" i="78" s="1"/>
  <c r="F16" i="78"/>
  <c r="F8" i="78"/>
  <c r="F44" i="78"/>
  <c r="F40" i="78"/>
  <c r="J67" i="76"/>
  <c r="K67" i="76" s="1"/>
  <c r="P67" i="76" s="1"/>
  <c r="R67" i="76" s="1"/>
  <c r="I35" i="76" s="1"/>
  <c r="H35" i="76" s="1"/>
  <c r="J38" i="78" s="1"/>
  <c r="K38" i="78" s="1"/>
  <c r="J66" i="76"/>
  <c r="K66" i="76" s="1"/>
  <c r="P66" i="76" s="1"/>
  <c r="R66" i="76" s="1"/>
  <c r="I24" i="76" s="1"/>
  <c r="H24" i="76" s="1"/>
  <c r="J37" i="78" s="1"/>
  <c r="K37" i="78" s="1"/>
  <c r="B82" i="71"/>
  <c r="K35" i="71"/>
  <c r="B90" i="71"/>
  <c r="F19" i="71"/>
  <c r="I26" i="76"/>
  <c r="J26" i="76" s="1"/>
  <c r="I27" i="76"/>
  <c r="J27" i="76" s="1"/>
  <c r="I25" i="76"/>
  <c r="J25" i="76" s="1"/>
  <c r="H40" i="78"/>
  <c r="F18" i="78"/>
  <c r="K44" i="71"/>
  <c r="K42" i="71"/>
  <c r="L42" i="71" s="1"/>
  <c r="C13" i="71"/>
  <c r="J41" i="76"/>
  <c r="B80" i="71"/>
  <c r="B59" i="71"/>
  <c r="B38" i="71"/>
  <c r="K36" i="71"/>
  <c r="F45" i="78"/>
  <c r="L45" i="78" s="1"/>
  <c r="M45" i="78" s="1"/>
  <c r="N45" i="78" s="1"/>
  <c r="O45" i="78" s="1"/>
  <c r="I44" i="78"/>
  <c r="H44" i="78" s="1"/>
  <c r="M8" i="71"/>
  <c r="H18" i="78"/>
  <c r="E19" i="71"/>
  <c r="K41" i="71"/>
  <c r="F11" i="71"/>
  <c r="B41" i="71"/>
  <c r="K34" i="71"/>
  <c r="B64" i="71"/>
  <c r="B34" i="71"/>
  <c r="I43" i="78"/>
  <c r="H43" i="78" s="1"/>
  <c r="C20" i="71"/>
  <c r="F36" i="76"/>
  <c r="B53" i="71"/>
  <c r="F20" i="71"/>
  <c r="H11" i="68"/>
  <c r="I16" i="65"/>
  <c r="E20" i="71"/>
  <c r="B43" i="71"/>
  <c r="C12" i="71"/>
  <c r="E12" i="71"/>
  <c r="J40" i="76"/>
  <c r="B57" i="71"/>
  <c r="C7" i="71"/>
  <c r="C11" i="71"/>
  <c r="G11" i="71"/>
  <c r="B66" i="71"/>
  <c r="E11" i="71"/>
  <c r="K30" i="71"/>
  <c r="B68" i="71"/>
  <c r="C9" i="71"/>
  <c r="F7" i="71"/>
  <c r="F24" i="76"/>
  <c r="J16" i="76"/>
  <c r="B30" i="71"/>
  <c r="B32" i="71"/>
  <c r="K33" i="71"/>
  <c r="B79" i="71"/>
  <c r="B78" i="71"/>
  <c r="C78" i="71" s="1"/>
  <c r="D11" i="71"/>
  <c r="F17" i="76"/>
  <c r="K32" i="71"/>
  <c r="L32" i="71" s="1"/>
  <c r="D7" i="71"/>
  <c r="B89" i="71"/>
  <c r="C89" i="71" s="1"/>
  <c r="K38" i="71"/>
  <c r="I22" i="78"/>
  <c r="H22" i="78" s="1"/>
  <c r="B76" i="71"/>
  <c r="D20" i="71"/>
  <c r="H11" i="71"/>
  <c r="B62" i="71"/>
  <c r="G7" i="71"/>
  <c r="K43" i="71"/>
  <c r="L43" i="71" s="1"/>
  <c r="B61" i="71"/>
  <c r="B55" i="71"/>
  <c r="H20" i="71"/>
  <c r="H11" i="78"/>
  <c r="B85" i="71"/>
  <c r="C10" i="71"/>
  <c r="H21" i="71"/>
  <c r="E14" i="71"/>
  <c r="H9" i="71"/>
  <c r="J10" i="65"/>
  <c r="J10" i="66" s="1"/>
  <c r="G21" i="71"/>
  <c r="F9" i="71"/>
  <c r="R63" i="76"/>
  <c r="I28" i="76" s="1"/>
  <c r="C14" i="71"/>
  <c r="F11" i="78"/>
  <c r="E9" i="71"/>
  <c r="H13" i="65"/>
  <c r="H13" i="66" s="1"/>
  <c r="K16" i="71"/>
  <c r="M16" i="71" s="1"/>
  <c r="J43" i="76"/>
  <c r="F11" i="76"/>
  <c r="G13" i="65"/>
  <c r="G13" i="66" s="1"/>
  <c r="I4" i="72"/>
  <c r="J18" i="76"/>
  <c r="C21" i="71"/>
  <c r="B44" i="71"/>
  <c r="H15" i="71"/>
  <c r="H10" i="71"/>
  <c r="H13" i="78"/>
  <c r="G10" i="65"/>
  <c r="G10" i="66" s="1"/>
  <c r="J9" i="68"/>
  <c r="L12" i="65" s="1"/>
  <c r="B81" i="71"/>
  <c r="B67" i="71"/>
  <c r="D9" i="71"/>
  <c r="G9" i="71"/>
  <c r="H5" i="78"/>
  <c r="E16" i="71"/>
  <c r="D21" i="71"/>
  <c r="F23" i="76"/>
  <c r="I11" i="68"/>
  <c r="F14" i="76"/>
  <c r="J19" i="65"/>
  <c r="J19" i="66" s="1"/>
  <c r="F11" i="68"/>
  <c r="I16" i="78"/>
  <c r="H16" i="78" s="1"/>
  <c r="F21" i="71"/>
  <c r="I19" i="65"/>
  <c r="I19" i="66" s="1"/>
  <c r="K39" i="71"/>
  <c r="G19" i="65"/>
  <c r="G19" i="66" s="1"/>
  <c r="I6" i="65"/>
  <c r="K23" i="71"/>
  <c r="K69" i="71" s="1"/>
  <c r="G17" i="65"/>
  <c r="I5" i="65"/>
  <c r="H16" i="76"/>
  <c r="J15" i="78" s="1"/>
  <c r="K15" i="78" s="1"/>
  <c r="M9" i="71"/>
  <c r="I14" i="76"/>
  <c r="I15" i="76"/>
  <c r="J15" i="76" s="1"/>
  <c r="H29" i="76"/>
  <c r="J28" i="78" s="1"/>
  <c r="K28" i="78" s="1"/>
  <c r="J29" i="76"/>
  <c r="H11" i="76"/>
  <c r="J10" i="78" s="1"/>
  <c r="K10" i="78" s="1"/>
  <c r="J11" i="76"/>
  <c r="H9" i="76"/>
  <c r="J8" i="78" s="1"/>
  <c r="K8" i="78" s="1"/>
  <c r="J9" i="76"/>
  <c r="H24" i="78"/>
  <c r="B46" i="71"/>
  <c r="K31" i="71"/>
  <c r="L31" i="71" s="1"/>
  <c r="B63" i="71"/>
  <c r="B86" i="71"/>
  <c r="C23" i="71"/>
  <c r="D17" i="71"/>
  <c r="H17" i="71"/>
  <c r="F15" i="71"/>
  <c r="H8" i="71"/>
  <c r="H29" i="78"/>
  <c r="I15" i="65"/>
  <c r="I15" i="66" s="1"/>
  <c r="K40" i="71"/>
  <c r="B58" i="71"/>
  <c r="C8" i="71"/>
  <c r="F20" i="78"/>
  <c r="C17" i="71"/>
  <c r="D19" i="71"/>
  <c r="G15" i="71"/>
  <c r="J15" i="65"/>
  <c r="J15" i="66" s="1"/>
  <c r="J23" i="76"/>
  <c r="B69" i="71"/>
  <c r="B31" i="71"/>
  <c r="B65" i="71"/>
  <c r="C22" i="71"/>
  <c r="D8" i="71"/>
  <c r="D15" i="71"/>
  <c r="G17" i="71"/>
  <c r="E15" i="71"/>
  <c r="F8" i="71"/>
  <c r="K15" i="71"/>
  <c r="H17" i="65"/>
  <c r="G15" i="65"/>
  <c r="G15" i="66" s="1"/>
  <c r="J5" i="65"/>
  <c r="F7" i="68"/>
  <c r="J7" i="68" s="1"/>
  <c r="B77" i="71"/>
  <c r="C77" i="71" s="1"/>
  <c r="I8" i="78"/>
  <c r="H8" i="78" s="1"/>
  <c r="E8" i="71"/>
  <c r="I17" i="76"/>
  <c r="B35" i="71"/>
  <c r="C19" i="71"/>
  <c r="C15" i="71"/>
  <c r="K45" i="71"/>
  <c r="L45" i="71" s="1"/>
  <c r="I28" i="78"/>
  <c r="H28" i="78" s="1"/>
  <c r="I39" i="78"/>
  <c r="H39" i="78" s="1"/>
  <c r="H22" i="71"/>
  <c r="H19" i="71"/>
  <c r="H16" i="71"/>
  <c r="H12" i="71"/>
  <c r="H7" i="71"/>
  <c r="K7" i="71"/>
  <c r="I20" i="65"/>
  <c r="I20" i="66" s="1"/>
  <c r="G5" i="65"/>
  <c r="M46" i="78"/>
  <c r="N46" i="78" s="1"/>
  <c r="O46" i="78" s="1"/>
  <c r="B54" i="71"/>
  <c r="I15" i="78"/>
  <c r="H15" i="78" s="1"/>
  <c r="D12" i="71"/>
  <c r="F17" i="71"/>
  <c r="K54" i="71"/>
  <c r="B40" i="71"/>
  <c r="C16" i="71"/>
  <c r="B39" i="71"/>
  <c r="B42" i="71"/>
  <c r="B45" i="71"/>
  <c r="D22" i="71"/>
  <c r="G19" i="71"/>
  <c r="F16" i="71"/>
  <c r="K17" i="71"/>
  <c r="K63" i="71" s="1"/>
  <c r="F22" i="76"/>
  <c r="J42" i="76"/>
  <c r="H21" i="76"/>
  <c r="J22" i="78" s="1"/>
  <c r="K22" i="78" s="1"/>
  <c r="J21" i="76"/>
  <c r="F35" i="76"/>
  <c r="I38" i="78"/>
  <c r="H38" i="78" s="1"/>
  <c r="J10" i="76"/>
  <c r="K55" i="71"/>
  <c r="I6" i="76"/>
  <c r="I8" i="76"/>
  <c r="J8" i="76" s="1"/>
  <c r="I7" i="76"/>
  <c r="J7" i="76" s="1"/>
  <c r="C27" i="38"/>
  <c r="C24" i="71" s="1"/>
  <c r="C22" i="41"/>
  <c r="B93" i="71"/>
  <c r="K47" i="71"/>
  <c r="D23" i="71"/>
  <c r="E23" i="71"/>
  <c r="F23" i="71"/>
  <c r="H23" i="71"/>
  <c r="B92" i="71"/>
  <c r="C92" i="71" s="1"/>
  <c r="K46" i="71"/>
  <c r="L46" i="71" s="1"/>
  <c r="M20" i="71"/>
  <c r="F14" i="71"/>
  <c r="G14" i="71"/>
  <c r="K14" i="71"/>
  <c r="K37" i="71"/>
  <c r="B60" i="71"/>
  <c r="D14" i="71"/>
  <c r="B37" i="71"/>
  <c r="B83" i="71"/>
  <c r="J44" i="76"/>
  <c r="F19" i="76"/>
  <c r="I21" i="78"/>
  <c r="H20" i="78" s="1"/>
  <c r="J12" i="68"/>
  <c r="L9" i="65" s="1"/>
  <c r="B36" i="71"/>
  <c r="H13" i="71"/>
  <c r="F12" i="76"/>
  <c r="F14" i="65"/>
  <c r="F14" i="66" s="1"/>
  <c r="G14" i="65"/>
  <c r="G14" i="66" s="1"/>
  <c r="H14" i="65"/>
  <c r="H14" i="66" s="1"/>
  <c r="J14" i="65"/>
  <c r="J14" i="66" s="1"/>
  <c r="E11" i="68"/>
  <c r="I19" i="76"/>
  <c r="I20" i="76"/>
  <c r="J20" i="76" s="1"/>
  <c r="K18" i="71"/>
  <c r="F18" i="71"/>
  <c r="G18" i="71"/>
  <c r="D18" i="71"/>
  <c r="K10" i="71"/>
  <c r="F28" i="76"/>
  <c r="I27" i="78"/>
  <c r="H27" i="78" s="1"/>
  <c r="J36" i="76"/>
  <c r="M19" i="71"/>
  <c r="J8" i="68"/>
  <c r="L7" i="65" s="1"/>
  <c r="B56" i="71"/>
  <c r="E18" i="71"/>
  <c r="K13" i="71"/>
  <c r="E13" i="71"/>
  <c r="F13" i="71"/>
  <c r="D13" i="71"/>
  <c r="F10" i="71"/>
  <c r="G10" i="71"/>
  <c r="D10" i="71"/>
  <c r="B33" i="71"/>
  <c r="B87" i="71"/>
  <c r="C18" i="71"/>
  <c r="K22" i="71"/>
  <c r="F22" i="71"/>
  <c r="G22" i="71"/>
  <c r="B91" i="71"/>
  <c r="C91" i="71" s="1"/>
  <c r="H10" i="65"/>
  <c r="H10" i="66" s="1"/>
  <c r="I10" i="65"/>
  <c r="I10" i="66" s="1"/>
  <c r="J10" i="68"/>
  <c r="L18" i="65" s="1"/>
  <c r="I12" i="76"/>
  <c r="I13" i="76"/>
  <c r="J13" i="76" s="1"/>
  <c r="E21" i="71"/>
  <c r="I17" i="65"/>
  <c r="I17" i="66" s="1"/>
  <c r="J17" i="65"/>
  <c r="I13" i="65"/>
  <c r="I13" i="66" s="1"/>
  <c r="J13" i="65"/>
  <c r="J13" i="66" s="1"/>
  <c r="D16" i="71"/>
  <c r="G20" i="71"/>
  <c r="G8" i="71"/>
  <c r="F6" i="76"/>
  <c r="G11" i="68"/>
  <c r="G20" i="65"/>
  <c r="G20" i="66" s="1"/>
  <c r="H20" i="65"/>
  <c r="H20" i="66" s="1"/>
  <c r="J20" i="65"/>
  <c r="J20" i="66" s="1"/>
  <c r="G16" i="65"/>
  <c r="H16" i="65"/>
  <c r="J16" i="65"/>
  <c r="G6" i="65"/>
  <c r="G6" i="66" s="1"/>
  <c r="H6" i="65"/>
  <c r="J6" i="65"/>
  <c r="H19" i="65"/>
  <c r="H19" i="66" s="1"/>
  <c r="H15" i="65"/>
  <c r="H15" i="66" s="1"/>
  <c r="H5" i="65"/>
  <c r="H5" i="66" s="1"/>
  <c r="F30" i="76"/>
  <c r="L4" i="65" l="1"/>
  <c r="I4" i="65" s="1"/>
  <c r="I24" i="65" s="1"/>
  <c r="L24" i="65"/>
  <c r="F24" i="78"/>
  <c r="F29" i="78"/>
  <c r="F23" i="78"/>
  <c r="F9" i="78"/>
  <c r="F33" i="78"/>
  <c r="F39" i="78"/>
  <c r="F15" i="78"/>
  <c r="F36" i="78"/>
  <c r="F32" i="78"/>
  <c r="F28" i="78"/>
  <c r="F37" i="78"/>
  <c r="F22" i="78"/>
  <c r="F10" i="78"/>
  <c r="F27" i="78"/>
  <c r="F35" i="78"/>
  <c r="J24" i="76"/>
  <c r="J35" i="76"/>
  <c r="J68" i="76"/>
  <c r="K68" i="76" s="1"/>
  <c r="P68" i="76" s="1"/>
  <c r="R68" i="76" s="1"/>
  <c r="I32" i="76" s="1"/>
  <c r="J69" i="76"/>
  <c r="K69" i="76" s="1"/>
  <c r="P69" i="76" s="1"/>
  <c r="R69" i="76" s="1"/>
  <c r="J71" i="76"/>
  <c r="K71" i="76" s="1"/>
  <c r="P71" i="76" s="1"/>
  <c r="R71" i="76" s="1"/>
  <c r="I34" i="76" s="1"/>
  <c r="I16" i="66"/>
  <c r="P19" i="71" s="1"/>
  <c r="J5" i="66"/>
  <c r="Q8" i="71" s="1"/>
  <c r="J16" i="66"/>
  <c r="Q19" i="71" s="1"/>
  <c r="G17" i="66"/>
  <c r="N20" i="71" s="1"/>
  <c r="H6" i="66"/>
  <c r="O9" i="71" s="1"/>
  <c r="J17" i="66"/>
  <c r="Q20" i="71" s="1"/>
  <c r="G16" i="66"/>
  <c r="J6" i="66"/>
  <c r="Q9" i="71" s="1"/>
  <c r="H17" i="66"/>
  <c r="O20" i="71" s="1"/>
  <c r="I5" i="66"/>
  <c r="P8" i="71" s="1"/>
  <c r="G5" i="66"/>
  <c r="N8" i="71" s="1"/>
  <c r="I6" i="66"/>
  <c r="P9" i="71" s="1"/>
  <c r="H16" i="66"/>
  <c r="O19" i="71" s="1"/>
  <c r="H12" i="65"/>
  <c r="H25" i="76"/>
  <c r="J24" i="78" s="1"/>
  <c r="N16" i="71"/>
  <c r="J6" i="76"/>
  <c r="H6" i="76"/>
  <c r="J5" i="78" s="1"/>
  <c r="N17" i="71"/>
  <c r="N30" i="78"/>
  <c r="O30" i="78" s="1"/>
  <c r="O29" i="78"/>
  <c r="N31" i="78"/>
  <c r="O31" i="78" s="1"/>
  <c r="L8" i="78"/>
  <c r="M8" i="78" s="1"/>
  <c r="N8" i="78" s="1"/>
  <c r="O8" i="78" s="1"/>
  <c r="L35" i="78"/>
  <c r="M35" i="78" s="1"/>
  <c r="N35" i="78" s="1"/>
  <c r="O35" i="78" s="1"/>
  <c r="L38" i="78"/>
  <c r="M38" i="78" s="1"/>
  <c r="N38" i="78" s="1"/>
  <c r="L24" i="78"/>
  <c r="L37" i="78"/>
  <c r="M37" i="78" s="1"/>
  <c r="N37" i="78" s="1"/>
  <c r="O37" i="78" s="1"/>
  <c r="L40" i="78"/>
  <c r="L43" i="78"/>
  <c r="L27" i="78"/>
  <c r="L39" i="78"/>
  <c r="L23" i="78"/>
  <c r="M23" i="78" s="1"/>
  <c r="N23" i="78" s="1"/>
  <c r="O23" i="78" s="1"/>
  <c r="L44" i="78"/>
  <c r="K62" i="71"/>
  <c r="O16" i="71"/>
  <c r="I7" i="71"/>
  <c r="F42" i="78"/>
  <c r="I20" i="71"/>
  <c r="I11" i="71"/>
  <c r="J12" i="65"/>
  <c r="O23" i="71"/>
  <c r="I12" i="71"/>
  <c r="K15" i="66"/>
  <c r="Q23" i="71"/>
  <c r="Q16" i="71"/>
  <c r="G12" i="65"/>
  <c r="N23" i="71"/>
  <c r="P23" i="71"/>
  <c r="M23" i="71"/>
  <c r="I21" i="71"/>
  <c r="H28" i="76"/>
  <c r="J27" i="78" s="1"/>
  <c r="K27" i="78" s="1"/>
  <c r="J28" i="76"/>
  <c r="K19" i="66"/>
  <c r="I9" i="71"/>
  <c r="K19" i="65"/>
  <c r="K53" i="71"/>
  <c r="I19" i="71"/>
  <c r="I15" i="71"/>
  <c r="I17" i="71"/>
  <c r="H24" i="71"/>
  <c r="K10" i="65"/>
  <c r="J17" i="76"/>
  <c r="H17" i="76"/>
  <c r="J16" i="78" s="1"/>
  <c r="G4" i="65"/>
  <c r="G24" i="65" s="1"/>
  <c r="H14" i="76"/>
  <c r="J13" i="78" s="1"/>
  <c r="J14" i="76"/>
  <c r="J11" i="68"/>
  <c r="L8" i="65" s="1"/>
  <c r="P17" i="71"/>
  <c r="K20" i="66"/>
  <c r="Q17" i="71"/>
  <c r="K61" i="71"/>
  <c r="E24" i="71"/>
  <c r="I16" i="71"/>
  <c r="F24" i="71"/>
  <c r="O17" i="71"/>
  <c r="F9" i="65"/>
  <c r="F9" i="66" s="1"/>
  <c r="G9" i="65"/>
  <c r="I9" i="65"/>
  <c r="J9" i="65"/>
  <c r="H9" i="65"/>
  <c r="K15" i="65"/>
  <c r="H12" i="76"/>
  <c r="J11" i="78" s="1"/>
  <c r="J12" i="76"/>
  <c r="K5" i="65"/>
  <c r="F18" i="65"/>
  <c r="F18" i="66" s="1"/>
  <c r="G18" i="65"/>
  <c r="H18" i="65"/>
  <c r="J18" i="65"/>
  <c r="I18" i="65"/>
  <c r="K17" i="65"/>
  <c r="M13" i="71"/>
  <c r="N13" i="71"/>
  <c r="P13" i="71"/>
  <c r="O13" i="71"/>
  <c r="Q13" i="71"/>
  <c r="K59" i="71"/>
  <c r="I14" i="71"/>
  <c r="K10" i="66"/>
  <c r="I23" i="71"/>
  <c r="K16" i="65"/>
  <c r="I7" i="65"/>
  <c r="J7" i="65"/>
  <c r="F7" i="65"/>
  <c r="F7" i="66" s="1"/>
  <c r="G7" i="65"/>
  <c r="H7" i="65"/>
  <c r="K56" i="71"/>
  <c r="K14" i="65"/>
  <c r="K6" i="65"/>
  <c r="Q18" i="71"/>
  <c r="O18" i="71"/>
  <c r="P18" i="71"/>
  <c r="K64" i="71"/>
  <c r="M18" i="71"/>
  <c r="N18" i="71"/>
  <c r="G24" i="71"/>
  <c r="I8" i="71"/>
  <c r="I22" i="71"/>
  <c r="I10" i="71"/>
  <c r="D24" i="71"/>
  <c r="F11" i="65"/>
  <c r="F11" i="66" s="1"/>
  <c r="G11" i="65"/>
  <c r="I11" i="65"/>
  <c r="H11" i="65"/>
  <c r="J11" i="65"/>
  <c r="I18" i="71"/>
  <c r="K20" i="65"/>
  <c r="I13" i="71"/>
  <c r="K13" i="65"/>
  <c r="M22" i="71"/>
  <c r="N22" i="71"/>
  <c r="O22" i="71"/>
  <c r="P22" i="71"/>
  <c r="Q22" i="71"/>
  <c r="K68" i="71"/>
  <c r="H19" i="76"/>
  <c r="J20" i="78" s="1"/>
  <c r="J19" i="76"/>
  <c r="K60" i="71"/>
  <c r="J4" i="65" l="1"/>
  <c r="J24" i="65" s="1"/>
  <c r="J4" i="66" s="1"/>
  <c r="Q7" i="71" s="1"/>
  <c r="I4" i="66"/>
  <c r="P7" i="71" s="1"/>
  <c r="H4" i="65"/>
  <c r="H24" i="65" s="1"/>
  <c r="F4" i="65"/>
  <c r="F24" i="65" s="1"/>
  <c r="F34" i="78"/>
  <c r="K16" i="66"/>
  <c r="F38" i="78"/>
  <c r="O38" i="78"/>
  <c r="I31" i="76"/>
  <c r="J31" i="76" s="1"/>
  <c r="I30" i="76"/>
  <c r="J34" i="76"/>
  <c r="H34" i="76"/>
  <c r="J43" i="78" s="1"/>
  <c r="K43" i="78" s="1"/>
  <c r="J70" i="76"/>
  <c r="K70" i="76" s="1"/>
  <c r="P70" i="76" s="1"/>
  <c r="R70" i="76" s="1"/>
  <c r="I22" i="76" s="1"/>
  <c r="J72" i="76"/>
  <c r="K72" i="76" s="1"/>
  <c r="P72" i="76" s="1"/>
  <c r="R72" i="76" s="1"/>
  <c r="I33" i="76" s="1"/>
  <c r="H32" i="76"/>
  <c r="J39" i="78" s="1"/>
  <c r="K39" i="78" s="1"/>
  <c r="J32" i="76"/>
  <c r="K16" i="78"/>
  <c r="K17" i="78"/>
  <c r="K11" i="78"/>
  <c r="K12" i="78"/>
  <c r="K20" i="78"/>
  <c r="K21" i="78"/>
  <c r="K5" i="78"/>
  <c r="K7" i="78"/>
  <c r="K6" i="78"/>
  <c r="K13" i="78"/>
  <c r="K14" i="78"/>
  <c r="N19" i="71"/>
  <c r="R19" i="71" s="1"/>
  <c r="G7" i="66"/>
  <c r="N10" i="71" s="1"/>
  <c r="H9" i="66"/>
  <c r="O12" i="71" s="1"/>
  <c r="J9" i="66"/>
  <c r="Q12" i="71" s="1"/>
  <c r="G9" i="66"/>
  <c r="N12" i="71" s="1"/>
  <c r="J18" i="66"/>
  <c r="Q21" i="71" s="1"/>
  <c r="E26" i="38"/>
  <c r="F140" i="104" s="1"/>
  <c r="G12" i="66"/>
  <c r="N15" i="71" s="1"/>
  <c r="G18" i="66"/>
  <c r="N21" i="71" s="1"/>
  <c r="H7" i="66"/>
  <c r="O10" i="71" s="1"/>
  <c r="I9" i="66"/>
  <c r="P12" i="71" s="1"/>
  <c r="I11" i="66"/>
  <c r="P14" i="71" s="1"/>
  <c r="H18" i="66"/>
  <c r="O21" i="71" s="1"/>
  <c r="J11" i="66"/>
  <c r="Q14" i="71" s="1"/>
  <c r="I7" i="66"/>
  <c r="P10" i="71" s="1"/>
  <c r="H12" i="66"/>
  <c r="O15" i="71" s="1"/>
  <c r="G11" i="66"/>
  <c r="N14" i="71" s="1"/>
  <c r="G4" i="66"/>
  <c r="J7" i="66"/>
  <c r="Q10" i="71" s="1"/>
  <c r="H11" i="66"/>
  <c r="O14" i="71" s="1"/>
  <c r="I18" i="66"/>
  <c r="P21" i="71" s="1"/>
  <c r="D16" i="41"/>
  <c r="E16" i="41" s="1"/>
  <c r="D20" i="41"/>
  <c r="E20" i="41" s="1"/>
  <c r="J12" i="66"/>
  <c r="Q15" i="71" s="1"/>
  <c r="F12" i="65"/>
  <c r="F12" i="66" s="1"/>
  <c r="I12" i="65"/>
  <c r="M24" i="78"/>
  <c r="H8" i="65"/>
  <c r="L20" i="78"/>
  <c r="M20" i="78" s="1"/>
  <c r="L16" i="78"/>
  <c r="M16" i="78" s="1"/>
  <c r="L28" i="78"/>
  <c r="M28" i="78" s="1"/>
  <c r="N28" i="78" s="1"/>
  <c r="O28" i="78" s="1"/>
  <c r="L10" i="78"/>
  <c r="M10" i="78" s="1"/>
  <c r="N10" i="78" s="1"/>
  <c r="O10" i="78" s="1"/>
  <c r="L15" i="78"/>
  <c r="M15" i="78" s="1"/>
  <c r="N15" i="78" s="1"/>
  <c r="L9" i="78"/>
  <c r="M9" i="78" s="1"/>
  <c r="N9" i="78" s="1"/>
  <c r="O9" i="78" s="1"/>
  <c r="M29" i="78"/>
  <c r="L33" i="78"/>
  <c r="M33" i="78" s="1"/>
  <c r="N33" i="78" s="1"/>
  <c r="O33" i="78" s="1"/>
  <c r="L34" i="78"/>
  <c r="M34" i="78" s="1"/>
  <c r="N34" i="78" s="1"/>
  <c r="O34" i="78" s="1"/>
  <c r="L11" i="78"/>
  <c r="M11" i="78" s="1"/>
  <c r="L18" i="78"/>
  <c r="M18" i="78" s="1"/>
  <c r="L13" i="78"/>
  <c r="M13" i="78" s="1"/>
  <c r="L32" i="78"/>
  <c r="M32" i="78" s="1"/>
  <c r="N32" i="78" s="1"/>
  <c r="O32" i="78" s="1"/>
  <c r="L36" i="78"/>
  <c r="M36" i="78" s="1"/>
  <c r="N36" i="78" s="1"/>
  <c r="O36" i="78" s="1"/>
  <c r="L5" i="78"/>
  <c r="M5" i="78" s="1"/>
  <c r="N5" i="78" s="1"/>
  <c r="O5" i="78" s="1"/>
  <c r="E21" i="38"/>
  <c r="L18" i="71" s="1"/>
  <c r="E25" i="38"/>
  <c r="L22" i="71" s="1"/>
  <c r="R23" i="71"/>
  <c r="G8" i="65"/>
  <c r="D21" i="41"/>
  <c r="E21" i="41" s="1"/>
  <c r="M27" i="78"/>
  <c r="N27" i="78" s="1"/>
  <c r="O27" i="78" s="1"/>
  <c r="J8" i="65"/>
  <c r="I8" i="65"/>
  <c r="I24" i="71"/>
  <c r="D11" i="41"/>
  <c r="E11" i="41" s="1"/>
  <c r="E16" i="38"/>
  <c r="F44" i="104" s="1"/>
  <c r="O8" i="71"/>
  <c r="K5" i="66"/>
  <c r="K9" i="65"/>
  <c r="K14" i="66"/>
  <c r="M17" i="71"/>
  <c r="R18" i="71"/>
  <c r="N9" i="71"/>
  <c r="K6" i="66"/>
  <c r="R13" i="71"/>
  <c r="P20" i="71"/>
  <c r="K17" i="66"/>
  <c r="K7" i="65"/>
  <c r="R22" i="71"/>
  <c r="K13" i="66"/>
  <c r="P16" i="71"/>
  <c r="K11" i="65"/>
  <c r="K18" i="65"/>
  <c r="E45" i="71" l="1"/>
  <c r="O45" i="71" s="1"/>
  <c r="F91" i="71" s="1"/>
  <c r="K125" i="104" s="1"/>
  <c r="D36" i="71"/>
  <c r="E42" i="71"/>
  <c r="O42" i="71" s="1"/>
  <c r="F88" i="71" s="1"/>
  <c r="K101" i="104" s="1"/>
  <c r="C41" i="71"/>
  <c r="E46" i="71"/>
  <c r="O46" i="71" s="1"/>
  <c r="F92" i="71" s="1"/>
  <c r="K133" i="104" s="1"/>
  <c r="E22" i="38"/>
  <c r="F108" i="104" s="1"/>
  <c r="K4" i="65"/>
  <c r="K24" i="65"/>
  <c r="F4" i="66"/>
  <c r="M7" i="71" s="1"/>
  <c r="H4" i="66"/>
  <c r="O7" i="71" s="1"/>
  <c r="M43" i="78"/>
  <c r="N43" i="78" s="1"/>
  <c r="O43" i="78" s="1"/>
  <c r="N17" i="78"/>
  <c r="O17" i="78" s="1"/>
  <c r="N16" i="78"/>
  <c r="O16" i="78" s="1"/>
  <c r="G11" i="41"/>
  <c r="O15" i="78"/>
  <c r="D17" i="41"/>
  <c r="E17" i="41" s="1"/>
  <c r="G42" i="71"/>
  <c r="Q42" i="71" s="1"/>
  <c r="H88" i="71" s="1"/>
  <c r="M101" i="104" s="1"/>
  <c r="D42" i="71"/>
  <c r="N42" i="71" s="1"/>
  <c r="E88" i="71" s="1"/>
  <c r="J101" i="104" s="1"/>
  <c r="C42" i="71"/>
  <c r="M42" i="71" s="1"/>
  <c r="D88" i="71" s="1"/>
  <c r="I101" i="104" s="1"/>
  <c r="F42" i="71"/>
  <c r="P42" i="71" s="1"/>
  <c r="G88" i="71" s="1"/>
  <c r="L101" i="104" s="1"/>
  <c r="J33" i="76"/>
  <c r="H33" i="76"/>
  <c r="J44" i="78" s="1"/>
  <c r="J22" i="76"/>
  <c r="H22" i="76"/>
  <c r="J42" i="78" s="1"/>
  <c r="J30" i="76"/>
  <c r="H30" i="76"/>
  <c r="J40" i="78" s="1"/>
  <c r="M39" i="78"/>
  <c r="N39" i="78" s="1"/>
  <c r="O39" i="78" s="1"/>
  <c r="L23" i="71"/>
  <c r="I8" i="66"/>
  <c r="P11" i="71" s="1"/>
  <c r="K12" i="65"/>
  <c r="N7" i="71"/>
  <c r="I12" i="66"/>
  <c r="K12" i="66" s="1"/>
  <c r="M15" i="71"/>
  <c r="H8" i="66"/>
  <c r="O11" i="71" s="1"/>
  <c r="J8" i="66"/>
  <c r="Q11" i="71" s="1"/>
  <c r="Q24" i="71" s="1"/>
  <c r="D26" i="38"/>
  <c r="G8" i="66"/>
  <c r="N11" i="71" s="1"/>
  <c r="F8" i="65"/>
  <c r="F8" i="66" s="1"/>
  <c r="M11" i="71" s="1"/>
  <c r="F132" i="104"/>
  <c r="D21" i="38"/>
  <c r="D25" i="38"/>
  <c r="F100" i="104"/>
  <c r="N18" i="78"/>
  <c r="O18" i="78" s="1"/>
  <c r="N19" i="78"/>
  <c r="O19" i="78" s="1"/>
  <c r="G5" i="41"/>
  <c r="L22" i="78"/>
  <c r="M22" i="78" s="1"/>
  <c r="N22" i="78" s="1"/>
  <c r="O22" i="78" s="1"/>
  <c r="F46" i="71"/>
  <c r="P46" i="71" s="1"/>
  <c r="G92" i="71" s="1"/>
  <c r="L133" i="104" s="1"/>
  <c r="D46" i="71"/>
  <c r="N46" i="71" s="1"/>
  <c r="E92" i="71" s="1"/>
  <c r="J133" i="104" s="1"/>
  <c r="G46" i="71"/>
  <c r="Q46" i="71" s="1"/>
  <c r="H92" i="71" s="1"/>
  <c r="M133" i="104" s="1"/>
  <c r="C46" i="71"/>
  <c r="M46" i="71" s="1"/>
  <c r="D92" i="71" s="1"/>
  <c r="I133" i="104" s="1"/>
  <c r="N7" i="78"/>
  <c r="N6" i="78"/>
  <c r="O6" i="78" s="1"/>
  <c r="C45" i="71"/>
  <c r="M45" i="71" s="1"/>
  <c r="D91" i="71" s="1"/>
  <c r="I125" i="104" s="1"/>
  <c r="D41" i="71"/>
  <c r="G36" i="71"/>
  <c r="G41" i="71"/>
  <c r="E41" i="71"/>
  <c r="N13" i="78"/>
  <c r="O13" i="78" s="1"/>
  <c r="N14" i="78"/>
  <c r="O14" i="78" s="1"/>
  <c r="F45" i="71"/>
  <c r="P45" i="71" s="1"/>
  <c r="G91" i="71" s="1"/>
  <c r="L125" i="104" s="1"/>
  <c r="F41" i="71"/>
  <c r="E36" i="71"/>
  <c r="C36" i="71"/>
  <c r="D45" i="71"/>
  <c r="N45" i="71" s="1"/>
  <c r="E91" i="71" s="1"/>
  <c r="J125" i="104" s="1"/>
  <c r="K9" i="66"/>
  <c r="M12" i="71"/>
  <c r="E23" i="38"/>
  <c r="F116" i="104" s="1"/>
  <c r="D18" i="41"/>
  <c r="E18" i="41" s="1"/>
  <c r="R20" i="71"/>
  <c r="G45" i="71"/>
  <c r="Q45" i="71" s="1"/>
  <c r="H91" i="71" s="1"/>
  <c r="M125" i="104" s="1"/>
  <c r="K18" i="66"/>
  <c r="M21" i="71"/>
  <c r="N20" i="78"/>
  <c r="O20" i="78" s="1"/>
  <c r="N21" i="78"/>
  <c r="O21" i="78" s="1"/>
  <c r="K7" i="66"/>
  <c r="M10" i="71"/>
  <c r="D16" i="38"/>
  <c r="L13" i="71"/>
  <c r="R9" i="71"/>
  <c r="F36" i="71"/>
  <c r="E11" i="38"/>
  <c r="F76" i="104" s="1"/>
  <c r="D6" i="41"/>
  <c r="E6" i="41" s="1"/>
  <c r="K11" i="66"/>
  <c r="M14" i="71"/>
  <c r="R17" i="71"/>
  <c r="R8" i="71"/>
  <c r="E19" i="38"/>
  <c r="F84" i="104" s="1"/>
  <c r="D14" i="41"/>
  <c r="E14" i="41" s="1"/>
  <c r="D7" i="41"/>
  <c r="E7" i="41" s="1"/>
  <c r="E12" i="38"/>
  <c r="F20" i="104" s="1"/>
  <c r="R16" i="71"/>
  <c r="N12" i="78"/>
  <c r="O12" i="78" s="1"/>
  <c r="N11" i="78"/>
  <c r="O11" i="78" s="1"/>
  <c r="E20" i="38"/>
  <c r="F92" i="104" s="1"/>
  <c r="D15" i="41"/>
  <c r="E15" i="41" s="1"/>
  <c r="F39" i="71" l="1"/>
  <c r="E31" i="71"/>
  <c r="O31" i="71" s="1"/>
  <c r="F77" i="71" s="1"/>
  <c r="K69" i="104" s="1"/>
  <c r="C40" i="71"/>
  <c r="L19" i="71"/>
  <c r="G8" i="41"/>
  <c r="H13" i="38" s="1"/>
  <c r="I13" i="38" s="1"/>
  <c r="C79" i="71" s="1"/>
  <c r="R7" i="71"/>
  <c r="D22" i="38"/>
  <c r="O24" i="71"/>
  <c r="K4" i="66"/>
  <c r="D5" i="41" s="1"/>
  <c r="H16" i="38"/>
  <c r="I16" i="38" s="1"/>
  <c r="C82" i="71" s="1"/>
  <c r="H10" i="38"/>
  <c r="I10" i="38" s="1"/>
  <c r="C76" i="71" s="1"/>
  <c r="G13" i="41"/>
  <c r="O7" i="78"/>
  <c r="H42" i="71"/>
  <c r="M123" i="104"/>
  <c r="N24" i="71"/>
  <c r="M40" i="78"/>
  <c r="K41" i="78"/>
  <c r="K40" i="78"/>
  <c r="K42" i="78"/>
  <c r="M42" i="78"/>
  <c r="N42" i="78" s="1"/>
  <c r="O42" i="78" s="1"/>
  <c r="K44" i="78"/>
  <c r="M44" i="78"/>
  <c r="N44" i="78" s="1"/>
  <c r="M115" i="104"/>
  <c r="M51" i="104"/>
  <c r="M91" i="104"/>
  <c r="K83" i="104"/>
  <c r="F51" i="104"/>
  <c r="G11" i="104"/>
  <c r="I27" i="104"/>
  <c r="J91" i="104"/>
  <c r="K107" i="104"/>
  <c r="H59" i="104"/>
  <c r="K35" i="104"/>
  <c r="K91" i="104"/>
  <c r="J51" i="104"/>
  <c r="K8" i="66"/>
  <c r="K27" i="104"/>
  <c r="L131" i="104"/>
  <c r="J123" i="104"/>
  <c r="H107" i="104"/>
  <c r="J115" i="104"/>
  <c r="F75" i="104"/>
  <c r="L139" i="104"/>
  <c r="G35" i="104"/>
  <c r="F91" i="104"/>
  <c r="F115" i="104"/>
  <c r="J131" i="104"/>
  <c r="F11" i="104"/>
  <c r="I115" i="104"/>
  <c r="M107" i="104"/>
  <c r="L115" i="104"/>
  <c r="G99" i="104"/>
  <c r="H131" i="104"/>
  <c r="M59" i="104"/>
  <c r="M99" i="104"/>
  <c r="F59" i="104"/>
  <c r="J67" i="104"/>
  <c r="K8" i="65"/>
  <c r="G131" i="104"/>
  <c r="I19" i="104"/>
  <c r="F43" i="104"/>
  <c r="H91" i="104"/>
  <c r="I123" i="104"/>
  <c r="I83" i="104"/>
  <c r="K43" i="104"/>
  <c r="J43" i="104"/>
  <c r="M67" i="104"/>
  <c r="K11" i="104"/>
  <c r="H75" i="104"/>
  <c r="K67" i="104"/>
  <c r="M27" i="104"/>
  <c r="L123" i="104"/>
  <c r="G19" i="104"/>
  <c r="L83" i="104"/>
  <c r="K19" i="104"/>
  <c r="L19" i="104"/>
  <c r="M11" i="104"/>
  <c r="K115" i="104"/>
  <c r="J59" i="104"/>
  <c r="H115" i="104"/>
  <c r="F35" i="104"/>
  <c r="L99" i="104"/>
  <c r="I43" i="104"/>
  <c r="F19" i="104"/>
  <c r="M43" i="104"/>
  <c r="G139" i="104"/>
  <c r="L27" i="104"/>
  <c r="M131" i="104"/>
  <c r="M35" i="104"/>
  <c r="M139" i="104"/>
  <c r="J107" i="104"/>
  <c r="J11" i="104"/>
  <c r="H43" i="104"/>
  <c r="G59" i="104"/>
  <c r="F27" i="104"/>
  <c r="F131" i="104"/>
  <c r="L91" i="104"/>
  <c r="K131" i="104"/>
  <c r="L107" i="104"/>
  <c r="I11" i="104"/>
  <c r="M83" i="104"/>
  <c r="I107" i="104"/>
  <c r="H35" i="104"/>
  <c r="F139" i="104"/>
  <c r="G67" i="104"/>
  <c r="K59" i="104"/>
  <c r="K139" i="104"/>
  <c r="I75" i="104"/>
  <c r="I59" i="104"/>
  <c r="H83" i="104"/>
  <c r="F67" i="104"/>
  <c r="L43" i="104"/>
  <c r="I67" i="104"/>
  <c r="I91" i="104"/>
  <c r="J75" i="104"/>
  <c r="M75" i="104"/>
  <c r="L75" i="104"/>
  <c r="H11" i="104"/>
  <c r="H139" i="104"/>
  <c r="G115" i="104"/>
  <c r="L59" i="104"/>
  <c r="J35" i="104"/>
  <c r="H123" i="104"/>
  <c r="L11" i="104"/>
  <c r="M19" i="104"/>
  <c r="F83" i="104"/>
  <c r="H67" i="104"/>
  <c r="H27" i="104"/>
  <c r="F99" i="104"/>
  <c r="J19" i="104"/>
  <c r="G75" i="104"/>
  <c r="G107" i="104"/>
  <c r="G51" i="104"/>
  <c r="F107" i="104"/>
  <c r="J99" i="104"/>
  <c r="H99" i="104"/>
  <c r="K51" i="104"/>
  <c r="L35" i="104"/>
  <c r="L51" i="104"/>
  <c r="L67" i="104"/>
  <c r="I131" i="104"/>
  <c r="F123" i="104"/>
  <c r="I51" i="104"/>
  <c r="G43" i="104"/>
  <c r="K75" i="104"/>
  <c r="H19" i="104"/>
  <c r="K123" i="104"/>
  <c r="G123" i="104"/>
  <c r="G91" i="104"/>
  <c r="G83" i="104"/>
  <c r="H51" i="104"/>
  <c r="K99" i="104"/>
  <c r="I139" i="104"/>
  <c r="J83" i="104"/>
  <c r="I35" i="104"/>
  <c r="E18" i="38"/>
  <c r="F36" i="104" s="1"/>
  <c r="D13" i="41"/>
  <c r="E13" i="41" s="1"/>
  <c r="P15" i="71"/>
  <c r="R15" i="71" s="1"/>
  <c r="J139" i="104"/>
  <c r="I99" i="104"/>
  <c r="G27" i="104"/>
  <c r="J27" i="104"/>
  <c r="G12" i="41"/>
  <c r="G16" i="41"/>
  <c r="H46" i="71"/>
  <c r="G10" i="41"/>
  <c r="G14" i="41"/>
  <c r="H41" i="71"/>
  <c r="H45" i="71"/>
  <c r="M24" i="71"/>
  <c r="D19" i="38"/>
  <c r="L16" i="71"/>
  <c r="E39" i="71"/>
  <c r="G39" i="71"/>
  <c r="D39" i="71"/>
  <c r="C39" i="71"/>
  <c r="E43" i="71"/>
  <c r="O43" i="71" s="1"/>
  <c r="F89" i="71" s="1"/>
  <c r="K109" i="104" s="1"/>
  <c r="C43" i="71"/>
  <c r="D43" i="71"/>
  <c r="N43" i="71" s="1"/>
  <c r="E89" i="71" s="1"/>
  <c r="J109" i="104" s="1"/>
  <c r="G43" i="71"/>
  <c r="Q43" i="71" s="1"/>
  <c r="H89" i="71" s="1"/>
  <c r="M109" i="104" s="1"/>
  <c r="R12" i="71"/>
  <c r="C31" i="71"/>
  <c r="F31" i="71"/>
  <c r="P31" i="71" s="1"/>
  <c r="G77" i="71" s="1"/>
  <c r="L69" i="104" s="1"/>
  <c r="D31" i="71"/>
  <c r="N31" i="71" s="1"/>
  <c r="E77" i="71" s="1"/>
  <c r="J69" i="104" s="1"/>
  <c r="G31" i="71"/>
  <c r="Q31" i="71" s="1"/>
  <c r="H77" i="71" s="1"/>
  <c r="M69" i="104" s="1"/>
  <c r="C32" i="71"/>
  <c r="G32" i="71"/>
  <c r="Q32" i="71" s="1"/>
  <c r="H78" i="71" s="1"/>
  <c r="M13" i="104" s="1"/>
  <c r="E32" i="71"/>
  <c r="O32" i="71" s="1"/>
  <c r="F78" i="71" s="1"/>
  <c r="K13" i="104" s="1"/>
  <c r="F32" i="71"/>
  <c r="P32" i="71" s="1"/>
  <c r="G78" i="71" s="1"/>
  <c r="L13" i="104" s="1"/>
  <c r="F43" i="71"/>
  <c r="P43" i="71" s="1"/>
  <c r="G89" i="71" s="1"/>
  <c r="L109" i="104" s="1"/>
  <c r="D10" i="41"/>
  <c r="E10" i="41" s="1"/>
  <c r="E15" i="38"/>
  <c r="F60" i="104" s="1"/>
  <c r="L8" i="71"/>
  <c r="D11" i="38"/>
  <c r="L9" i="71"/>
  <c r="D12" i="38"/>
  <c r="F40" i="71"/>
  <c r="E40" i="71"/>
  <c r="D40" i="71"/>
  <c r="G40" i="71"/>
  <c r="D32" i="71"/>
  <c r="N32" i="71" s="1"/>
  <c r="E78" i="71" s="1"/>
  <c r="J13" i="104" s="1"/>
  <c r="R10" i="71"/>
  <c r="D20" i="38"/>
  <c r="L17" i="71"/>
  <c r="R21" i="71"/>
  <c r="E24" i="38"/>
  <c r="F124" i="104" s="1"/>
  <c r="D19" i="41"/>
  <c r="E19" i="41" s="1"/>
  <c r="R14" i="71"/>
  <c r="H36" i="71"/>
  <c r="E13" i="38"/>
  <c r="F28" i="104" s="1"/>
  <c r="D8" i="41"/>
  <c r="E8" i="41" s="1"/>
  <c r="D23" i="38"/>
  <c r="L20" i="71"/>
  <c r="R11" i="71"/>
  <c r="E17" i="38"/>
  <c r="F68" i="104" s="1"/>
  <c r="D12" i="41"/>
  <c r="E12" i="41" s="1"/>
  <c r="C37" i="71" l="1"/>
  <c r="C30" i="71"/>
  <c r="C44" i="71"/>
  <c r="G30" i="71"/>
  <c r="E30" i="71"/>
  <c r="D30" i="71"/>
  <c r="F30" i="71"/>
  <c r="L30" i="71"/>
  <c r="E14" i="38"/>
  <c r="F52" i="104" s="1"/>
  <c r="E10" i="38"/>
  <c r="E5" i="41"/>
  <c r="H15" i="38"/>
  <c r="I15" i="38" s="1"/>
  <c r="C81" i="71" s="1"/>
  <c r="H21" i="38"/>
  <c r="I21" i="38" s="1"/>
  <c r="L41" i="71" s="1"/>
  <c r="H17" i="38"/>
  <c r="I17" i="38" s="1"/>
  <c r="C83" i="71" s="1"/>
  <c r="L36" i="71"/>
  <c r="H18" i="38"/>
  <c r="I18" i="38" s="1"/>
  <c r="C84" i="71" s="1"/>
  <c r="H19" i="38"/>
  <c r="I19" i="38" s="1"/>
  <c r="L39" i="71" s="1"/>
  <c r="L33" i="71"/>
  <c r="G19" i="41"/>
  <c r="O44" i="78"/>
  <c r="D9" i="41"/>
  <c r="E9" i="41" s="1"/>
  <c r="N41" i="78"/>
  <c r="N40" i="78"/>
  <c r="D18" i="38"/>
  <c r="L15" i="71"/>
  <c r="C38" i="71"/>
  <c r="E38" i="71"/>
  <c r="D38" i="71"/>
  <c r="F38" i="71"/>
  <c r="G38" i="71"/>
  <c r="P24" i="71"/>
  <c r="H39" i="71"/>
  <c r="H40" i="71"/>
  <c r="R24" i="71"/>
  <c r="E44" i="71"/>
  <c r="G44" i="71"/>
  <c r="D44" i="71"/>
  <c r="F44" i="71"/>
  <c r="L21" i="71"/>
  <c r="D24" i="38"/>
  <c r="D15" i="38"/>
  <c r="L12" i="71"/>
  <c r="H43" i="71"/>
  <c r="M43" i="71"/>
  <c r="D89" i="71" s="1"/>
  <c r="I109" i="104" s="1"/>
  <c r="D37" i="71"/>
  <c r="F37" i="71"/>
  <c r="E37" i="71"/>
  <c r="G37" i="71"/>
  <c r="H32" i="71"/>
  <c r="M32" i="71"/>
  <c r="D78" i="71" s="1"/>
  <c r="I13" i="104" s="1"/>
  <c r="D17" i="38"/>
  <c r="L14" i="71"/>
  <c r="D35" i="71"/>
  <c r="G35" i="71"/>
  <c r="F35" i="71"/>
  <c r="E35" i="71"/>
  <c r="D13" i="38"/>
  <c r="L10" i="71"/>
  <c r="G33" i="71"/>
  <c r="F33" i="71"/>
  <c r="D33" i="71"/>
  <c r="E33" i="71"/>
  <c r="M31" i="71"/>
  <c r="D77" i="71" s="1"/>
  <c r="I69" i="104" s="1"/>
  <c r="H31" i="71"/>
  <c r="E34" i="71"/>
  <c r="D34" i="71"/>
  <c r="F34" i="71"/>
  <c r="G34" i="71"/>
  <c r="C34" i="71"/>
  <c r="C33" i="71"/>
  <c r="C35" i="71"/>
  <c r="N36" i="71" l="1"/>
  <c r="E82" i="71" s="1"/>
  <c r="J37" i="104" s="1"/>
  <c r="M30" i="71"/>
  <c r="D76" i="71" s="1"/>
  <c r="I5" i="104" s="1"/>
  <c r="M39" i="71"/>
  <c r="D85" i="71" s="1"/>
  <c r="I77" i="104" s="1"/>
  <c r="N41" i="71"/>
  <c r="E87" i="71" s="1"/>
  <c r="J93" i="104" s="1"/>
  <c r="N39" i="71"/>
  <c r="E85" i="71" s="1"/>
  <c r="J77" i="104" s="1"/>
  <c r="H30" i="71"/>
  <c r="O39" i="71"/>
  <c r="F85" i="71" s="1"/>
  <c r="K77" i="104" s="1"/>
  <c r="Q39" i="71"/>
  <c r="H85" i="71" s="1"/>
  <c r="M77" i="104" s="1"/>
  <c r="P39" i="71"/>
  <c r="G85" i="71" s="1"/>
  <c r="L77" i="104" s="1"/>
  <c r="O30" i="71"/>
  <c r="F76" i="71" s="1"/>
  <c r="K5" i="104" s="1"/>
  <c r="P30" i="71"/>
  <c r="G76" i="71" s="1"/>
  <c r="L5" i="104" s="1"/>
  <c r="P36" i="71"/>
  <c r="G82" i="71" s="1"/>
  <c r="L37" i="104" s="1"/>
  <c r="M36" i="71"/>
  <c r="D82" i="71" s="1"/>
  <c r="I37" i="104" s="1"/>
  <c r="N30" i="71"/>
  <c r="E76" i="71" s="1"/>
  <c r="J5" i="104" s="1"/>
  <c r="Q30" i="71"/>
  <c r="H76" i="71" s="1"/>
  <c r="M5" i="104" s="1"/>
  <c r="L38" i="71"/>
  <c r="L37" i="71"/>
  <c r="L11" i="71"/>
  <c r="D14" i="38"/>
  <c r="E27" i="38"/>
  <c r="F12" i="104"/>
  <c r="D10" i="38"/>
  <c r="L7" i="71"/>
  <c r="M41" i="71"/>
  <c r="D87" i="71" s="1"/>
  <c r="I93" i="104" s="1"/>
  <c r="Q41" i="71"/>
  <c r="H87" i="71" s="1"/>
  <c r="M93" i="104" s="1"/>
  <c r="O41" i="71"/>
  <c r="F87" i="71" s="1"/>
  <c r="K93" i="104" s="1"/>
  <c r="N33" i="71"/>
  <c r="E79" i="71" s="1"/>
  <c r="J21" i="104" s="1"/>
  <c r="P33" i="71"/>
  <c r="G79" i="71" s="1"/>
  <c r="L21" i="104" s="1"/>
  <c r="C87" i="71"/>
  <c r="P41" i="71"/>
  <c r="G87" i="71" s="1"/>
  <c r="L93" i="104" s="1"/>
  <c r="O33" i="71"/>
  <c r="F79" i="71" s="1"/>
  <c r="K21" i="104" s="1"/>
  <c r="Q33" i="71"/>
  <c r="H79" i="71" s="1"/>
  <c r="M21" i="104" s="1"/>
  <c r="C85" i="71"/>
  <c r="O36" i="71"/>
  <c r="F82" i="71" s="1"/>
  <c r="K37" i="104" s="1"/>
  <c r="L35" i="71"/>
  <c r="Q36" i="71"/>
  <c r="H82" i="71" s="1"/>
  <c r="M37" i="104" s="1"/>
  <c r="H24" i="38"/>
  <c r="I24" i="38" s="1"/>
  <c r="L44" i="71" s="1"/>
  <c r="G9" i="41"/>
  <c r="O40" i="78"/>
  <c r="G15" i="41"/>
  <c r="O41" i="78"/>
  <c r="H38" i="71"/>
  <c r="D22" i="41"/>
  <c r="H35" i="71"/>
  <c r="H44" i="71"/>
  <c r="H34" i="71"/>
  <c r="M33" i="71"/>
  <c r="D79" i="71" s="1"/>
  <c r="I21" i="104" s="1"/>
  <c r="H33" i="71"/>
  <c r="H37" i="71"/>
  <c r="M37" i="71" l="1"/>
  <c r="D83" i="71" s="1"/>
  <c r="I61" i="104" s="1"/>
  <c r="O38" i="71"/>
  <c r="F84" i="71" s="1"/>
  <c r="K29" i="104" s="1"/>
  <c r="M44" i="71"/>
  <c r="D90" i="71" s="1"/>
  <c r="I117" i="104" s="1"/>
  <c r="M35" i="71"/>
  <c r="D81" i="71" s="1"/>
  <c r="I53" i="104" s="1"/>
  <c r="L24" i="71"/>
  <c r="P37" i="71"/>
  <c r="G83" i="71" s="1"/>
  <c r="L61" i="104" s="1"/>
  <c r="P38" i="71"/>
  <c r="G84" i="71" s="1"/>
  <c r="L29" i="104" s="1"/>
  <c r="Q37" i="71"/>
  <c r="H83" i="71" s="1"/>
  <c r="M61" i="104" s="1"/>
  <c r="N37" i="71"/>
  <c r="E83" i="71" s="1"/>
  <c r="J61" i="104" s="1"/>
  <c r="O37" i="71"/>
  <c r="F83" i="71" s="1"/>
  <c r="K61" i="104" s="1"/>
  <c r="P35" i="71"/>
  <c r="G81" i="71" s="1"/>
  <c r="L53" i="104" s="1"/>
  <c r="Q35" i="71"/>
  <c r="H81" i="71" s="1"/>
  <c r="M53" i="104" s="1"/>
  <c r="O35" i="71"/>
  <c r="F81" i="71" s="1"/>
  <c r="K53" i="104" s="1"/>
  <c r="N35" i="71"/>
  <c r="E81" i="71" s="1"/>
  <c r="J53" i="104" s="1"/>
  <c r="M38" i="71"/>
  <c r="D84" i="71" s="1"/>
  <c r="I29" i="104" s="1"/>
  <c r="Q38" i="71"/>
  <c r="H84" i="71" s="1"/>
  <c r="M29" i="104" s="1"/>
  <c r="N38" i="71"/>
  <c r="E84" i="71" s="1"/>
  <c r="J29" i="104" s="1"/>
  <c r="D27" i="38"/>
  <c r="H20" i="38"/>
  <c r="I20" i="38" s="1"/>
  <c r="L40" i="71" s="1"/>
  <c r="H14" i="38"/>
  <c r="I14" i="38" s="1"/>
  <c r="P44" i="71"/>
  <c r="G90" i="71" s="1"/>
  <c r="L117" i="104" s="1"/>
  <c r="Q44" i="71"/>
  <c r="H90" i="71" s="1"/>
  <c r="M117" i="104" s="1"/>
  <c r="N44" i="71"/>
  <c r="E90" i="71" s="1"/>
  <c r="J117" i="104" s="1"/>
  <c r="O44" i="71"/>
  <c r="F90" i="71" s="1"/>
  <c r="K117" i="104" s="1"/>
  <c r="C90" i="71"/>
  <c r="G22" i="41"/>
  <c r="M40" i="71" l="1"/>
  <c r="D86" i="71" s="1"/>
  <c r="I85" i="104" s="1"/>
  <c r="I27" i="38"/>
  <c r="C80" i="71"/>
  <c r="H27" i="38"/>
  <c r="Q40" i="71"/>
  <c r="H86" i="71" s="1"/>
  <c r="M85" i="104" s="1"/>
  <c r="C86" i="71"/>
  <c r="L34" i="71"/>
  <c r="N40" i="71"/>
  <c r="E86" i="71" s="1"/>
  <c r="J85" i="104" s="1"/>
  <c r="O40" i="71"/>
  <c r="F86" i="71" s="1"/>
  <c r="K85" i="104" s="1"/>
  <c r="P40" i="71"/>
  <c r="G86" i="71" s="1"/>
  <c r="L85" i="104" s="1"/>
  <c r="M34" i="71" l="1"/>
  <c r="D80" i="71" s="1"/>
  <c r="D93" i="71" s="1"/>
  <c r="Q34" i="71"/>
  <c r="H80" i="71" s="1"/>
  <c r="H93" i="71" s="1"/>
  <c r="P34" i="71"/>
  <c r="P47" i="71" s="1"/>
  <c r="L47" i="71"/>
  <c r="C93" i="71" s="1"/>
  <c r="O34" i="71"/>
  <c r="O47" i="71" s="1"/>
  <c r="N34" i="71"/>
  <c r="N47" i="71" s="1"/>
  <c r="I45" i="104"/>
  <c r="M47" i="71" l="1"/>
  <c r="G80" i="71"/>
  <c r="G93" i="71" s="1"/>
  <c r="M45" i="104"/>
  <c r="Q47" i="71"/>
  <c r="F80" i="71"/>
  <c r="F93" i="71" s="1"/>
  <c r="E80" i="71"/>
  <c r="E93" i="71" s="1"/>
  <c r="L45" i="104" l="1"/>
  <c r="J45" i="104"/>
  <c r="K45" i="104"/>
</calcChain>
</file>

<file path=xl/sharedStrings.xml><?xml version="1.0" encoding="utf-8"?>
<sst xmlns="http://schemas.openxmlformats.org/spreadsheetml/2006/main" count="2330" uniqueCount="382">
  <si>
    <t>Strategic resource options</t>
  </si>
  <si>
    <t>Model code:</t>
  </si>
  <si>
    <t>PR24CA46</t>
  </si>
  <si>
    <t>Version number:</t>
  </si>
  <si>
    <t>File name:</t>
  </si>
  <si>
    <t>Date:</t>
  </si>
  <si>
    <t>For enquiries please contact:</t>
  </si>
  <si>
    <t>PR24@ofwat.gov.uk</t>
  </si>
  <si>
    <t>Contents:</t>
  </si>
  <si>
    <t>Tab name</t>
  </si>
  <si>
    <t>Description</t>
  </si>
  <si>
    <t>Cover</t>
  </si>
  <si>
    <t>Details of the file and the assessment approach to Strategic Resource Options (SROs).</t>
  </si>
  <si>
    <t>Conceptual Model</t>
  </si>
  <si>
    <t>A graphic to represent how the model inputs flow through to the final outputs.</t>
  </si>
  <si>
    <t>Water_Totex</t>
  </si>
  <si>
    <t>Water price control net totex data import from central database used for materiality assessment.</t>
  </si>
  <si>
    <t>F_Inputs BP</t>
  </si>
  <si>
    <t>Submitted company business plan data import from central database.</t>
  </si>
  <si>
    <t>Inputs</t>
  </si>
  <si>
    <t>Confirmation of SRO costs and relative company splits between 2025-30 gathered from queries.</t>
  </si>
  <si>
    <t>Other Inputs</t>
  </si>
  <si>
    <t>Costs for schemes that were not put forward as SROs by the companies but have been reallocated to become new SROs.</t>
  </si>
  <si>
    <t>Reallocations</t>
  </si>
  <si>
    <t>Relevant costs between 2025-30 reallocated to 'Strategic regional resource solutions; SDB totex' line.</t>
  </si>
  <si>
    <t>F_Input Override</t>
  </si>
  <si>
    <t>Sum of all SRO costs for 2025-30, by company. Formula sums costs by company in "Inputs" tab if the company is not listed in the "Reallocations" tab.</t>
  </si>
  <si>
    <t>Final Input</t>
  </si>
  <si>
    <t>Final data used for the assessment of SROs.</t>
  </si>
  <si>
    <t>Development Cost Calculations</t>
  </si>
  <si>
    <t>Breakdown of the calculations for the development costs for each SRO.</t>
  </si>
  <si>
    <t>DPC and SIPR Cost Calculations</t>
  </si>
  <si>
    <t>Details DPC and SIPR cost allowance for each SRO.</t>
  </si>
  <si>
    <t>Final Development Cost Split</t>
  </si>
  <si>
    <t>Breakdown and summary of requested and allowed costs for development costs and DPC costs for AMP8 for SROs and how this is split by company.</t>
  </si>
  <si>
    <t>Materiality &amp; Deep Dive</t>
  </si>
  <si>
    <t>Materiality of costs.</t>
  </si>
  <si>
    <t>Allowance</t>
  </si>
  <si>
    <t>Water company allowances to develop SROs including any contingent funding that has been allowed.</t>
  </si>
  <si>
    <t>RAPID Gate Costs</t>
  </si>
  <si>
    <t>Details costs in each gate for existing and new SROs.</t>
  </si>
  <si>
    <t>Outputs to aggregator (£)</t>
  </si>
  <si>
    <t>Profiling allowance across 2025-30 following companies original profiling requests.</t>
  </si>
  <si>
    <t>.</t>
  </si>
  <si>
    <t xml:space="preserve">Conceptual model </t>
  </si>
  <si>
    <t>End of sheet</t>
  </si>
  <si>
    <t>PR24 WATER TOTEX FD V2</t>
  </si>
  <si>
    <t>Run on 09 Oct 2024 16:37</t>
  </si>
  <si>
    <t>Company Acronym</t>
  </si>
  <si>
    <t>Item Code</t>
  </si>
  <si>
    <t>Item Description</t>
  </si>
  <si>
    <t>Item Unit</t>
  </si>
  <si>
    <t>Item Table Suite</t>
  </si>
  <si>
    <t>Constant</t>
  </si>
  <si>
    <t>Price Review 2024</t>
  </si>
  <si>
    <t>Run 11 - PR24 FD Data</t>
  </si>
  <si>
    <t>Latest</t>
  </si>
  <si>
    <t>ANH</t>
  </si>
  <si>
    <t>PR24_NETTOTEX_WATER</t>
  </si>
  <si>
    <t>PR24 BP Net totex - Total inc. accelerated &amp; transition costs</t>
  </si>
  <si>
    <t>£m</t>
  </si>
  <si>
    <t>WSH</t>
  </si>
  <si>
    <t>HDD</t>
  </si>
  <si>
    <t>NES</t>
  </si>
  <si>
    <t>SVE</t>
  </si>
  <si>
    <t>SBB</t>
  </si>
  <si>
    <t>SRN</t>
  </si>
  <si>
    <t>TMS</t>
  </si>
  <si>
    <t>NWT</t>
  </si>
  <si>
    <t>WSX</t>
  </si>
  <si>
    <t>YKY</t>
  </si>
  <si>
    <t>AFW</t>
  </si>
  <si>
    <t>BRL</t>
  </si>
  <si>
    <t>PRT</t>
  </si>
  <si>
    <t>SEW</t>
  </si>
  <si>
    <t>SSC</t>
  </si>
  <si>
    <t>SES</t>
  </si>
  <si>
    <t>SRO Totex Run11</t>
  </si>
  <si>
    <t>Run on 09 Oct 2024 16:53</t>
  </si>
  <si>
    <t>Acronym</t>
  </si>
  <si>
    <t>Reference</t>
  </si>
  <si>
    <t>Item description</t>
  </si>
  <si>
    <t>Unit</t>
  </si>
  <si>
    <t>Model</t>
  </si>
  <si>
    <t>2025-26</t>
  </si>
  <si>
    <t>2026-27</t>
  </si>
  <si>
    <t>2027-28</t>
  </si>
  <si>
    <t>2028-29</t>
  </si>
  <si>
    <t>2029-30</t>
  </si>
  <si>
    <t>Total</t>
  </si>
  <si>
    <t>CW3_058TOT_PR24</t>
  </si>
  <si>
    <t>Supply-demand balance - Strategic regional resource solutions; SDB totex - Total</t>
  </si>
  <si>
    <t>Company</t>
  </si>
  <si>
    <t>Scheme Name</t>
  </si>
  <si>
    <t>2025/26</t>
  </si>
  <si>
    <t>2026/27</t>
  </si>
  <si>
    <t>2027/28</t>
  </si>
  <si>
    <t>2028/29</t>
  </si>
  <si>
    <t>2029/30</t>
  </si>
  <si>
    <t>Query Confirmation of Costs</t>
  </si>
  <si>
    <t>Cost line in BP Tables</t>
  </si>
  <si>
    <t>Reallocation needed?</t>
  </si>
  <si>
    <t>SESRO</t>
  </si>
  <si>
    <t xml:space="preserve">AFW-032 </t>
  </si>
  <si>
    <t>CW3.56-CW3.58</t>
  </si>
  <si>
    <t>N</t>
  </si>
  <si>
    <t>GUC</t>
  </si>
  <si>
    <t>AFW-032</t>
  </si>
  <si>
    <t>Minworth SRO</t>
  </si>
  <si>
    <t>T2AT</t>
  </si>
  <si>
    <t>Bacton Desalination</t>
  </si>
  <si>
    <t>ANH-039</t>
  </si>
  <si>
    <t>CW3.53-CW3.55</t>
  </si>
  <si>
    <t>Y</t>
  </si>
  <si>
    <t>P2G Transfer</t>
  </si>
  <si>
    <t>CWW3.183-CWW3.184</t>
  </si>
  <si>
    <t>Lincolnshire Reservoir</t>
  </si>
  <si>
    <t>Fens Reservoir</t>
  </si>
  <si>
    <t>Kielder Transfer SRO</t>
  </si>
  <si>
    <t>NES-043</t>
  </si>
  <si>
    <t>Broad Oak Reservoir</t>
  </si>
  <si>
    <t>SEW-030</t>
  </si>
  <si>
    <t>STT</t>
  </si>
  <si>
    <t>SVE-037</t>
  </si>
  <si>
    <t>Severn Trent Sources</t>
  </si>
  <si>
    <t>South Yorkshire Sources</t>
  </si>
  <si>
    <t>SVE-124</t>
  </si>
  <si>
    <t>N/A</t>
  </si>
  <si>
    <t>Rudyard</t>
  </si>
  <si>
    <t>SVE-120</t>
  </si>
  <si>
    <t>Notts Mine</t>
  </si>
  <si>
    <t>Poole Water Recycling and Transfer</t>
  </si>
  <si>
    <t>SBB-036</t>
  </si>
  <si>
    <t>Cheddar 2 Source and Transfer</t>
  </si>
  <si>
    <t>Mendip Quarries</t>
  </si>
  <si>
    <t>SRO modelling</t>
  </si>
  <si>
    <t>SBB-039</t>
  </si>
  <si>
    <t>SRN-043</t>
  </si>
  <si>
    <t>HWTWRP</t>
  </si>
  <si>
    <t>T2ST</t>
  </si>
  <si>
    <t>TMS-036</t>
  </si>
  <si>
    <t>Beckton</t>
  </si>
  <si>
    <t>Teddington DRA</t>
  </si>
  <si>
    <t>LTWLR</t>
  </si>
  <si>
    <t>North West Transfer</t>
  </si>
  <si>
    <t>UUW-032</t>
  </si>
  <si>
    <t>WSX-037</t>
  </si>
  <si>
    <t>YKY-038</t>
  </si>
  <si>
    <t>Confirmation of Costs</t>
  </si>
  <si>
    <t>Mablethorpe</t>
  </si>
  <si>
    <t>ANH_DD_018</t>
  </si>
  <si>
    <t>North Suffolk</t>
  </si>
  <si>
    <t>OFW-REP-NES-64</t>
  </si>
  <si>
    <t>New Arlington</t>
  </si>
  <si>
    <t>OFW-REP-SEW-40</t>
  </si>
  <si>
    <t>West Midlands Raw Water Storage</t>
  </si>
  <si>
    <t>SVE-097</t>
  </si>
  <si>
    <t>Reallocate From</t>
  </si>
  <si>
    <t>Reallocate To</t>
  </si>
  <si>
    <t>BON Code</t>
  </si>
  <si>
    <t>Additional line 2; SRO's capex</t>
  </si>
  <si>
    <t>CWW3_183TOT_PR24</t>
  </si>
  <si>
    <t>Strategic regional resource solutions; SDB totex</t>
  </si>
  <si>
    <t>Additional line 2; SRO's opex</t>
  </si>
  <si>
    <t>CWW3_184TOT_PR24</t>
  </si>
  <si>
    <t>Supply demand balance improvements delivering benefits starting from 2031; SDB totex</t>
  </si>
  <si>
    <t>CW3_055TOT_PR24</t>
  </si>
  <si>
    <t>Reallocated</t>
  </si>
  <si>
    <t>CW3.58</t>
  </si>
  <si>
    <t>Override</t>
  </si>
  <si>
    <t>Justification</t>
  </si>
  <si>
    <t>Updated CW8 figures for Mablethorpe</t>
  </si>
  <si>
    <t>CW8.47</t>
  </si>
  <si>
    <t>Note 1: The data in the table below has been pulled from the 'Expenditure by AMP' templates submitted by companies for each SRO - provided as part of the draft determination representations.</t>
  </si>
  <si>
    <t>Note 2: Ofwat define 'Core Development Expenditure' (Core Devex) as project development costs minus any costs associated with land, enabling works and commercial and procurement strategy.</t>
  </si>
  <si>
    <t>Source</t>
  </si>
  <si>
    <t>See Column R</t>
  </si>
  <si>
    <t>Expenditure by AMP</t>
  </si>
  <si>
    <t>Ofwat Allowance %</t>
  </si>
  <si>
    <t>Ofwat</t>
  </si>
  <si>
    <t>Solution</t>
  </si>
  <si>
    <t>Companies</t>
  </si>
  <si>
    <t>Project Type</t>
  </si>
  <si>
    <t>Capex</t>
  </si>
  <si>
    <t>Core Devex (as identified by Ofwat across all AMPs)</t>
  </si>
  <si>
    <t>% of Tot. Capex</t>
  </si>
  <si>
    <t>Core Devex Allowance (all AMPs)</t>
  </si>
  <si>
    <t>AMP7 + AMP9 and beyond Core Devex</t>
  </si>
  <si>
    <t>AMP 8 Core Devex Allowance</t>
  </si>
  <si>
    <t>AMP 8 Land &amp; Enabling Works</t>
  </si>
  <si>
    <t>AMP 8 Commercial and Procurement*</t>
  </si>
  <si>
    <t>Adjustments</t>
  </si>
  <si>
    <t>Adjustment Notes</t>
  </si>
  <si>
    <t>Total AMP 8 Allowance (incl. land and enabling works, excl. DPC costs)</t>
  </si>
  <si>
    <t>Source for Capex Data</t>
  </si>
  <si>
    <t>B</t>
  </si>
  <si>
    <t>Confirmed in email from ANH</t>
  </si>
  <si>
    <t>E</t>
  </si>
  <si>
    <t>SUP12.8 + SUP12.9 + SUP12.14</t>
  </si>
  <si>
    <t>Query Response</t>
  </si>
  <si>
    <t>SBB, WSX</t>
  </si>
  <si>
    <t>A</t>
  </si>
  <si>
    <t>AFW, SVE</t>
  </si>
  <si>
    <t>D</t>
  </si>
  <si>
    <t>NES, NWT, YKY</t>
  </si>
  <si>
    <t>15% allowance of contingent land costs</t>
  </si>
  <si>
    <t>Reduction in AMP7 underspend</t>
  </si>
  <si>
    <t>C</t>
  </si>
  <si>
    <t>SEW-15</t>
  </si>
  <si>
    <t>SVE, YKY</t>
  </si>
  <si>
    <t>AFW, SRN, TMS</t>
  </si>
  <si>
    <t>Uplift to ensure original allowance is met</t>
  </si>
  <si>
    <t>NWT, SVE, TMS</t>
  </si>
  <si>
    <t>RAPID Dashboard</t>
  </si>
  <si>
    <t>-</t>
  </si>
  <si>
    <t>Minimum</t>
  </si>
  <si>
    <t>Maximum</t>
  </si>
  <si>
    <t>Existing SRO (excl. Water Recycling Schemes)</t>
  </si>
  <si>
    <t>New Solution (&gt;350)</t>
  </si>
  <si>
    <t>New Solution (&lt;350)</t>
  </si>
  <si>
    <t>Water Recycling Schemes</t>
  </si>
  <si>
    <t>Other Schemes</t>
  </si>
  <si>
    <t>Thames Water Contingent Funding</t>
  </si>
  <si>
    <t>Thames Water Request (£m)</t>
  </si>
  <si>
    <t>Ofwat %</t>
  </si>
  <si>
    <t>Ofwat Allowance (£m)</t>
  </si>
  <si>
    <t>Comments</t>
  </si>
  <si>
    <t>Land</t>
  </si>
  <si>
    <t>SESRO Expenditure by AMP sheet</t>
  </si>
  <si>
    <t>Land&amp;Enabling</t>
  </si>
  <si>
    <t>LTWLR Expenditure by AMP sheet</t>
  </si>
  <si>
    <t>Other</t>
  </si>
  <si>
    <t>TMS-DD-005</t>
  </si>
  <si>
    <t>DPC Costs</t>
  </si>
  <si>
    <t>Proportions for AMP8</t>
  </si>
  <si>
    <t>DPC Dev Request (Solution)</t>
  </si>
  <si>
    <t>DPC Dev Request (Company)</t>
  </si>
  <si>
    <t>DPC Dev Allowance (Solution)</t>
  </si>
  <si>
    <t>DPC Dev Allowance (Company)</t>
  </si>
  <si>
    <t>Difference</t>
  </si>
  <si>
    <t>Solution has been provided with Stage 2 DPC allowance to ensure commercial development is undertaken in AMP8.</t>
  </si>
  <si>
    <t>Increase in whole life cost has increased allowance. £4 million adjustment has been made to account for funding provided in AMP7 Gate Two Decisions.</t>
  </si>
  <si>
    <t>Reduction in allowance as this solution only reaches Stage 2 in AMP8 and amendment of whole life cost element within the DPC methodology for final determinations.</t>
  </si>
  <si>
    <t>Increase in allowance due to reprofiling now excluding Stage 1. £1.50 million adjustment to account for funding provided during AMP7 Gate Two Decisions.</t>
  </si>
  <si>
    <t>Allowance provided as solution is estimated to reach Stage 2 and 3 in AMP8 which is confirmed in Expenditure by AMP templates. £1.50 adjustment to account for funding provided during AMP7 Gate Two Decisions.</t>
  </si>
  <si>
    <t>Reduction in allowance due to amendment of whole life cost element within the DPC methodology for final determinations. £1.50 million adjustment to account for funding provided during AMP7 Gate Two Decisions.</t>
  </si>
  <si>
    <t xml:space="preserve">Solution has been provided with Stage 2 DPC allowance to ensure commercial development is undertaken in AMP8. </t>
  </si>
  <si>
    <t>Reduction in allowance due to amendment of whole life cost element within the DPC methodology for final determinations.</t>
  </si>
  <si>
    <t>Reduction in allowance due to amendment of whole life cost element within the DPC methodology for final determinations. CAP management costs post the DPC stage process are treated separately.</t>
  </si>
  <si>
    <t>Reduction in allowance due to Stage 4 no longer being in AMP8 and amendment of DPC methodology for final determinations.</t>
  </si>
  <si>
    <t>Increase in whole life cost has increased allowance.</t>
  </si>
  <si>
    <t>Solution assessing whether delivery via DPC is suitable and therefore Stage 2 allowance provided in AMP8 as this will be expected if the case.</t>
  </si>
  <si>
    <t>Solution identified as suitable for delivery via DPC and therefore Stage 2 allowance provided in AMP8 to begin commercial development to meet this milestone in the next AMP.</t>
  </si>
  <si>
    <t>Solution not featured in company supplementary 'Direct Procurement for Customers' table. Allowance provided in alignment with the PR24 final determinations approach.</t>
  </si>
  <si>
    <t>SIPR Costs</t>
  </si>
  <si>
    <t>Ofwat have reallocated the expenditure provided within the cost templates in line with supporting documents provided as part of company representations. See 'Major projects development and delivery appendix' for more detail.</t>
  </si>
  <si>
    <t>Lincs Reservoir</t>
  </si>
  <si>
    <t>Granular Breakdown by Stage for DPC Costs</t>
  </si>
  <si>
    <t>DPC Stages in AMP8</t>
  </si>
  <si>
    <t>Query Responses</t>
  </si>
  <si>
    <t>SUP12.14</t>
  </si>
  <si>
    <t>Ofwat Allowance</t>
  </si>
  <si>
    <t>Opex</t>
  </si>
  <si>
    <t>Whole life Cost (25 years)</t>
  </si>
  <si>
    <t>SUP12.14 Cost Request</t>
  </si>
  <si>
    <t>Base cost</t>
  </si>
  <si>
    <t>Variable cost</t>
  </si>
  <si>
    <t>New methodology</t>
  </si>
  <si>
    <t>Stage 2</t>
  </si>
  <si>
    <t>Stage 3</t>
  </si>
  <si>
    <t>Stage 4</t>
  </si>
  <si>
    <t>Percentage allowed</t>
  </si>
  <si>
    <t>AMP8 Allowance</t>
  </si>
  <si>
    <t>Final AMP8 Allowance</t>
  </si>
  <si>
    <t>Variable Cost (£m)</t>
  </si>
  <si>
    <t>Years</t>
  </si>
  <si>
    <t>Representations</t>
  </si>
  <si>
    <t>Solution No.</t>
  </si>
  <si>
    <t>Companies (needed per company breakdown)</t>
  </si>
  <si>
    <t>Proportions for AMP8 Devex</t>
  </si>
  <si>
    <t xml:space="preserve">Total requested allowance by solution owners </t>
  </si>
  <si>
    <t>Total requested allowance split by company</t>
  </si>
  <si>
    <t>Total DPC Costs Request by Solution</t>
  </si>
  <si>
    <t>Total DPC Costs Request AMP8 by Company</t>
  </si>
  <si>
    <t>Total DPC Costs Allowance by Solution</t>
  </si>
  <si>
    <t>Total DPC Costs  Allowance AMP8 by Company</t>
  </si>
  <si>
    <t>AMP 8 Development Costs (Excluding DPC Costs, Including Land and Enabling Works)</t>
  </si>
  <si>
    <t>Total Development Costs AMP8 (DPC Costs are included within this)</t>
  </si>
  <si>
    <t>Total Development Costs AMP 8 by company (DPC Costs are included within this)</t>
  </si>
  <si>
    <t>DPC allowance for this SRO has been provided - see 'DPC and SIPR Cost Calculations'.</t>
  </si>
  <si>
    <t xml:space="preserve">Company CW3 numbers do not accurately reflect the data included in the 'Expenditure by AMP' template which equates to £48.90m or the correct partnership split. Full request not allowed upfront due to TMS being provided contingent funding for this SRO - see 'Development Cost Calculations'. DPC allowance for this SRO has been provided - see 'DPC and SIPR Cost Calculations'. </t>
  </si>
  <si>
    <t>We have capped pure development funding for this SRO at 12% in line with the methodology set out in the 'Major projects development and delivery' appendix. We have not allowed the requested funding which covers the risk pot for Havant Thicket (£81.75m) and CAP management costs (£16.20m) as this is dealt with through separate mechanisms. DPC allowance for this SRO has increased - see 'DPC and SIPR Cost Calculations'.</t>
  </si>
  <si>
    <t>Company CW3 numbers do not accurately reflect data included in 'Expenditure by AMP' template which equates to £48.37m or correct partnership split. Reduction in allowance (total of £3.80 across SRO) due to AMP7 underspend being dealt with separately through the reconciliation model. There is also a reduction in allowance due to commercial and procurement costs in the 'Expenditure by AMP' template being replaced with the DPC allowance.</t>
  </si>
  <si>
    <t>Reduction in allowance (total of £3.80m across SRO) due to AMP7 underspend being dealt with separately through the reconciliation model. There is also a reduction in allowance due to commercial and procurement costs in the 'Expenditure by AMP' template being replaced with the DPC allowance.</t>
  </si>
  <si>
    <t>Company CW3 numbers do not accurately reflect the data included in the 'Expenditure by AMP' template which equates to £81.64m or correct partnership split. DPC allowance for this SRO has increased - see 'DPC and SIPR Cost Calculations'.</t>
  </si>
  <si>
    <t>We have capped pure development funding for this SRO at 10% in line with the methodology set out in the 'Major projects development and delivery' appendix. DPC allowance for this SRO has increased - see 'DPC and SIPR Cost Calculations'.</t>
  </si>
  <si>
    <t>Company CW3 numbers do not accurately reflect the data included in the 'Expenditure by AMP' template which equates to £31.54m or correct partnership split. DPC allowance for this SRO has increased - see 'DPC and SIPR Cost Calculations'.</t>
  </si>
  <si>
    <t>We have capped pure development funding for this SRO at 12% in line with the methodology set out in the 'Major projects development and delivery' appendix.</t>
  </si>
  <si>
    <t>Company CW3 numbers do not accurately reflect the data included in the 'Expenditure by AMP' template which equates to £44.67m or correct partnership split. DPC allowance for this SRO has reduced - see 'DPC and SIPR Cost Calculations'.</t>
  </si>
  <si>
    <t>Expenditure by AMP template only equates to £31.70m required for this SRO. DPC allowance for this SRO has been provided - 'DPC and SIPR Cost Calculations'.</t>
  </si>
  <si>
    <t>DPC allowances for this SRO have been reduced - see 'DPC and SIPR Cost Calculations'.</t>
  </si>
  <si>
    <t>13*</t>
  </si>
  <si>
    <t>Company CW3 numbers do not accurately reflect the data included in the 'Expenditure by AMP' template which equates to £23.262m or partnership arrangements*.</t>
  </si>
  <si>
    <t>Company CW3 numbers do not accurately reflect the data included in the 'Expenditure by AMP' template which equates to £23.262m or correct partnership split*. DPC allowance for this SRO has increased - see 'DPC and SIPR Cost Calculations'.</t>
  </si>
  <si>
    <t>Expenditure by AMP template only equates to £164.23m required for this SRO. Full request not allowed due to TMS being provided contingent funding for this SRO - see 'Development Cost Calculations'. DPC allowance for this SRO has been provided - see 'DPC and SIPR Cost Calculations'.</t>
  </si>
  <si>
    <t>CW3 numbers do not accurately reflect the data in the Expenditure by AMP template which equates to £72.93m (G1-4). We have allowed a minimum cap for pure development funding for this SRO at 6% in line with the methodology set out in the 'Major projects development and delivery' appendix. DPC allowance for this SRO has increased - see 'DPC and SIPR Cost Calculations'.</t>
  </si>
  <si>
    <t>16**</t>
  </si>
  <si>
    <t>Expenditure by AMP template only equates to £658.63m required for this SRO.  Full request not allowed due to TMS being provided contingent funding for this SRO - see 'Development Cost Calculations'.</t>
  </si>
  <si>
    <t>Expenditure by AMP template only equates to £43.98m required for this SRO. We have capped pure development funding for this SRO at 12% in line with the methodology set out in the 'Major projects development and delivery' appendix.</t>
  </si>
  <si>
    <t>We have capped pure development funding for this SRO at 10% in line with the methodology set out in the 'Major projects development and delivery' appendix. DPC allowance for this SRO has decreased - see 'DPC and SIPR Cost Calculations'. Land for alternative pathways have not be allowed due to uncertainty around the routes for delivery. Any additional required funding will be managed through the uncertainty mechanism set out in the 'Major projects development and delivery' appendix.</t>
  </si>
  <si>
    <t>CW3 numbers do not accurately reflect the data included in the 'Expenditure by AMP' template which equates to £30.18m. We have capped pure development funding for this SRO at 10% in line with the methodology set out in the 'Major projects development and delivery' appendix. DPC allowance for this SRO has increased - see 'DPC and SIPR Cost Calculations'.</t>
  </si>
  <si>
    <t>We have allowed a minimum cap for pure development funding for this SRO at 6% in line with the methodology set out in the 'Major projects development and delivery' appendix. DPC allowance for this SRO has been provided - see 'DPC and SIPR Cost Calculations'.</t>
  </si>
  <si>
    <t>CW3 numbers do not accurately reflect the  data included in the 'Expenditure by AMP' template which equates to £10.85m. We have allowed a minimum cap for pure development funding for this SRO at 8% in line with the methodology set out in the 'Major projects development and delivery' appendix. DPC allowance for this SRO has been provided - see 'DPC and SIPR Cost Calculations'.</t>
  </si>
  <si>
    <t>Company CW3 numbers do not accurately reflect the data included in the 'Expenditure by AMP' template which equates to £11.85m and correct partnership split. We have allowed a minimum cap for pure development funding for this SRO at 8% in line with the methodology set out in the 'Major projects development and delivery' appendix. DPC allowance for this SRO has been provided - see 'DPC and SIPR Cost Calculations'.</t>
  </si>
  <si>
    <t>We have allowed a minimum cap for pure development funding for this SRO at 8% in line with the methodology set out in the 'Major projects development and delivery' appendix. DPC allowance for this SRO has been provided - see 'DPC and SIPR Cost Calculations'.</t>
  </si>
  <si>
    <t>* For the Kielder Transfer SRO, the split is 1/3 each between companies for Gates 1 and 2. It is then 10% for Northumbrian Water and 90% for Yorkshire Water from Gate 3 onwards, with Yorkshire Water receiving all DPC Development costs.</t>
  </si>
  <si>
    <t>** For SESRO, the proportion of total development costs and total requested allowance does not align with Column D due to Thames Water taking on 100% of land costs.</t>
  </si>
  <si>
    <t>Total Totex for Price control (£m)</t>
  </si>
  <si>
    <t>Totex requested in business plan (£m)</t>
  </si>
  <si>
    <t>Materiality (%)</t>
  </si>
  <si>
    <t>Type of assessment</t>
  </si>
  <si>
    <t>Ofwat AMP8 Allowance (£m)</t>
  </si>
  <si>
    <t>Summary</t>
  </si>
  <si>
    <t>Deep dive &amp; benchmarking</t>
  </si>
  <si>
    <t xml:space="preserve">Bacton: £24.52m increase in allowance.
Mablethorpe: Included in the Major Projects/SRO portfolio for PR24. £39.84m increase in allowance. </t>
  </si>
  <si>
    <t>Kielder Transfer: £0.91 increase in allowance.
North Suffolk Reservoir: Included in the Major Projects/SRO portfolio for PR24. £39.62m increase in allowance.</t>
  </si>
  <si>
    <t>GUC: £1.69m increase in allowance.
Minworth: £1.20m reduction in allowance.
STT: £0.71m increase in allowance.
Rudyard: £22.26m increase in allowance.
Notts Mine SRO: £10.58m increase in allowance.
West Midlands Raw Water Storage: Included in the Major Projects/SRO portfolio for PR24. £23.41m increase in allowance.</t>
  </si>
  <si>
    <t>Mendips: £1.88m reduction in allowance.
Cheddar 2: £14.82m increase in allowance.
Poole: £2.98m increase in allowance.</t>
  </si>
  <si>
    <t>HWTWRP: £102.89m reduction in allowance.
T2ST: £5.93m reduction in allowance.</t>
  </si>
  <si>
    <t>STT: £23.47m reduction in allowance (contingent spend provided).
Beckton: £5.41m increase in allowance.
LTWLR: £101.60 reduction in allowance (contingent spend provided).
SESRO: £245.75m reduction in allowance (contingent spend provided).
Teddington DR: £16.90m reduction in allowance.</t>
  </si>
  <si>
    <t>STT: £0.71m increase in allowance.
Kielder Transfer: £0.74m increase in allowance.
North West Transfer: £10.33m reduction in allowance.</t>
  </si>
  <si>
    <t>Mendips: £4.82m reduction in allowance.
Cheddar 2: £0.68m increase in allowance.
Poole: £0.01m increase in allowance.</t>
  </si>
  <si>
    <t>Kielder Transfer: £7.08m increase in allowance.
South Yorkshire Sources: £18.27m increase in allowance.
Notts Mine Water: £8.17m increase in allowance.</t>
  </si>
  <si>
    <t>GUC: £5.58m reduction in allowance. 
Minworth: £0.60m reduction in allowance.</t>
  </si>
  <si>
    <t>Broad Oak Reservoir: £10.79m reduction in allowance.
New Arlington: Included in the Major Projects/SRO portfolio for PR24. £19.57m increase in allowance.</t>
  </si>
  <si>
    <t xml:space="preserve">Summary of allowed costs </t>
  </si>
  <si>
    <t>Cost allowance for 2025-2030 (£m in 2022-23 prices)</t>
  </si>
  <si>
    <t>Totex in business plan - wholesale water</t>
  </si>
  <si>
    <t>Net totex reallocated in/out</t>
  </si>
  <si>
    <t>Totex after reallocations</t>
  </si>
  <si>
    <t xml:space="preserve">Shallow dive allowance </t>
  </si>
  <si>
    <t>Modelled allowance</t>
  </si>
  <si>
    <t xml:space="preserve">Deep dive allowance </t>
  </si>
  <si>
    <t>Totex allowed - wholesale water</t>
  </si>
  <si>
    <t>Totex contingent - wholesale water</t>
  </si>
  <si>
    <t>`</t>
  </si>
  <si>
    <t>Existing Solutions</t>
  </si>
  <si>
    <t>Solution Name</t>
  </si>
  <si>
    <t>Gate One</t>
  </si>
  <si>
    <t>Gate Two</t>
  </si>
  <si>
    <t>Gate Three</t>
  </si>
  <si>
    <t>Gate Four</t>
  </si>
  <si>
    <t>Post Gate Four</t>
  </si>
  <si>
    <t>New Solutions</t>
  </si>
  <si>
    <t>To note: For new solutions, where companies have submitted expenditure templates for their SRO's, we have created a percentage split based on the data submitted which has been used to allocate the new allowances set by Ofwat. For those new solutions where we did not ask for an expenditure template we have used an average % of each gate for all SROs. This split was used for New Arlington, North Suffolk and West Midlands Raw Water Storage. Please see the table below.</t>
  </si>
  <si>
    <t>Gates</t>
  </si>
  <si>
    <t>Avg. % SRO split</t>
  </si>
  <si>
    <t>Summary of submitted costs before and after reallocations (£m's)</t>
  </si>
  <si>
    <t>Before reallocation</t>
  </si>
  <si>
    <t>After reallocation</t>
  </si>
  <si>
    <t>2025/2026</t>
  </si>
  <si>
    <t>2026/2027</t>
  </si>
  <si>
    <t>2027/2028</t>
  </si>
  <si>
    <t>2028/2029</t>
  </si>
  <si>
    <t>2029/2030</t>
  </si>
  <si>
    <t>Summary of allowances based on temporal profiling of submitted costs - for company level allowances (£m's)</t>
  </si>
  <si>
    <t>Temporal Profiling</t>
  </si>
  <si>
    <t>Allowances</t>
  </si>
  <si>
    <t>Check</t>
  </si>
  <si>
    <t>Total allowances</t>
  </si>
  <si>
    <t>Override (£m's)</t>
  </si>
  <si>
    <t>Explanation of any override</t>
  </si>
  <si>
    <t>Override Comments</t>
  </si>
  <si>
    <t>Summary of allowances based on ad-hoc profiling - for scheme based allowances (£m's)</t>
  </si>
  <si>
    <t>Allowances based on ad-hoc profiling</t>
  </si>
  <si>
    <t>2023-24</t>
  </si>
  <si>
    <t>2024-25</t>
  </si>
  <si>
    <t>Total enhancement allowance - Water - Strategic resource options - Totex</t>
  </si>
  <si>
    <t>Total enhancement allowance - Water - Strategic resource options - Accelerated programme</t>
  </si>
  <si>
    <t>Total enhancement allowance - Water - Strategic resource options - Transition allowance</t>
  </si>
  <si>
    <t>Text</t>
  </si>
  <si>
    <t>nr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</si>
</sst>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4" formatCode="_-&quot;£&quot;* #,##0.00_-;\-&quot;£&quot;* #,##0.00_-;_-&quot;£&quot;* &quot;-&quot;??_-;_-@_-"/>
    <numFmt numFmtId="43" formatCode="_-* #,##0.00_-;\-* #,##0.00_-;_-* &quot;-&quot;??_-;_-@_-"/>
    <numFmt numFmtId="164" formatCode="#,##0_);\(#,##0\);&quot;-  &quot;;&quot; &quot;@&quot; &quot;"/>
    <numFmt numFmtId="165" formatCode="_(* #,##0.0_);_(* \(#,##0.0\);_(* &quot;-&quot;??_);_(@_)"/>
    <numFmt numFmtId="166" formatCode="#,##0_);\(#,##0\);&quot;-  &quot;;&quot; &quot;@"/>
    <numFmt numFmtId="167" formatCode="dd\ mmm\ yyyy_);;&quot;-  &quot;;&quot; &quot;@&quot; &quot;"/>
    <numFmt numFmtId="168" formatCode="dd\ mmm\ yy_);;&quot;-  &quot;;&quot; &quot;@&quot; &quot;"/>
    <numFmt numFmtId="169" formatCode="#,##0.0000_);\(#,##0.0000\);&quot;-  &quot;;&quot; &quot;@&quot; &quot;"/>
    <numFmt numFmtId="170" formatCode="0.000"/>
    <numFmt numFmtId="171" formatCode="&quot;£&quot;#,##0.00"/>
    <numFmt numFmtId="172" formatCode="0.0"/>
    <numFmt numFmtId="173" formatCode="#,##0.000"/>
    <numFmt numFmtId="174" formatCode="#,##0.0_);\(#,##0.0\);&quot;-  &quot;;&quot; &quot;@&quot; &quot;"/>
    <numFmt numFmtId="175" formatCode="###0_);\(###0\);&quot;-  &quot;;&quot; &quot;@&quot; &quot;"/>
    <numFmt numFmtId="176" formatCode="mmmm\ yyyy;@"/>
    <numFmt numFmtId="177" formatCode="0.0000"/>
    <numFmt numFmtId="178" formatCode="0.000000"/>
    <numFmt numFmtId="179" formatCode="0.00000000000"/>
    <numFmt numFmtId="180" formatCode="0.0000%"/>
    <numFmt numFmtId="181" formatCode="0.00000"/>
  </numFmts>
  <fonts count="84">
    <font>
      <sz val="10"/>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0"/>
      <color theme="1"/>
      <name val="Arial"/>
      <family val="2"/>
    </font>
    <font>
      <b/>
      <sz val="18"/>
      <color theme="3"/>
      <name val="Krub SemiBold"/>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i/>
      <sz val="10"/>
      <color rgb="FF7F7F7F"/>
      <name val="Arial"/>
      <family val="2"/>
    </font>
    <font>
      <b/>
      <sz val="10"/>
      <color theme="1"/>
      <name val="Arial"/>
      <family val="2"/>
    </font>
    <font>
      <sz val="10"/>
      <color theme="0"/>
      <name val="Arial"/>
      <family val="2"/>
    </font>
    <font>
      <sz val="10"/>
      <name val="Arial"/>
      <family val="2"/>
    </font>
    <font>
      <sz val="16"/>
      <color rgb="FF002664"/>
      <name val="Arial Rounded MT Bold"/>
      <family val="2"/>
    </font>
    <font>
      <sz val="14"/>
      <color rgb="FF002664"/>
      <name val="Arial Rounded MT Bold"/>
      <family val="2"/>
    </font>
    <font>
      <sz val="12"/>
      <color rgb="FF002664"/>
      <name val="Arial Rounded MT Bold"/>
      <family val="2"/>
    </font>
    <font>
      <b/>
      <sz val="10"/>
      <name val="Arial"/>
      <family val="2"/>
    </font>
    <font>
      <u/>
      <sz val="10"/>
      <name val="Arial"/>
      <family val="2"/>
    </font>
    <font>
      <sz val="10"/>
      <color indexed="12"/>
      <name val="Arial"/>
      <family val="2"/>
    </font>
    <font>
      <sz val="10"/>
      <color indexed="10"/>
      <name val="Arial"/>
      <family val="2"/>
    </font>
    <font>
      <i/>
      <sz val="10"/>
      <color rgb="FF00B050"/>
      <name val="Arial"/>
      <family val="2"/>
    </font>
    <font>
      <sz val="11"/>
      <color theme="1"/>
      <name val="Arial"/>
      <family val="2"/>
    </font>
    <font>
      <sz val="24"/>
      <color theme="0"/>
      <name val="Calibri"/>
      <family val="2"/>
    </font>
    <font>
      <sz val="10"/>
      <color theme="1"/>
      <name val="Calibri"/>
      <family val="2"/>
    </font>
    <font>
      <sz val="10"/>
      <color rgb="FF000000"/>
      <name val="Arial"/>
      <family val="2"/>
    </font>
    <font>
      <sz val="10"/>
      <color rgb="FFFF0000"/>
      <name val="Arial"/>
      <family val="2"/>
    </font>
    <font>
      <b/>
      <sz val="10"/>
      <color rgb="FF000000"/>
      <name val="Calibri"/>
      <family val="2"/>
    </font>
    <font>
      <sz val="10"/>
      <color rgb="FF000000"/>
      <name val="Calibri"/>
      <family val="2"/>
    </font>
    <font>
      <i/>
      <sz val="10"/>
      <color rgb="FF7F7F7F"/>
      <name val="Calibri"/>
      <family val="2"/>
    </font>
    <font>
      <b/>
      <sz val="10"/>
      <name val="Calibri"/>
      <family val="2"/>
    </font>
    <font>
      <b/>
      <sz val="14"/>
      <color theme="0"/>
      <name val="Calibri"/>
      <family val="2"/>
    </font>
    <font>
      <i/>
      <sz val="10"/>
      <color rgb="FFFF0000"/>
      <name val="Calibri"/>
      <family val="2"/>
    </font>
    <font>
      <sz val="8"/>
      <name val="Arial"/>
      <family val="2"/>
    </font>
    <font>
      <sz val="8"/>
      <color theme="1"/>
      <name val="Tahoma"/>
      <family val="2"/>
    </font>
    <font>
      <sz val="10"/>
      <name val="Calibri"/>
      <family val="2"/>
    </font>
    <font>
      <sz val="10"/>
      <name val="Krub"/>
      <family val="2"/>
      <scheme val="minor"/>
    </font>
    <font>
      <u/>
      <sz val="8"/>
      <color theme="10"/>
      <name val="Tahoma"/>
      <family val="2"/>
    </font>
    <font>
      <sz val="10"/>
      <color theme="1"/>
      <name val="Krub"/>
      <family val="2"/>
      <scheme val="minor"/>
    </font>
    <font>
      <b/>
      <sz val="10"/>
      <color theme="1"/>
      <name val="Calibri"/>
      <family val="2"/>
    </font>
    <font>
      <sz val="10"/>
      <color theme="0"/>
      <name val="Calibri"/>
      <family val="2"/>
    </font>
    <font>
      <b/>
      <u/>
      <sz val="11"/>
      <color theme="1"/>
      <name val="Calibri"/>
      <family val="2"/>
    </font>
    <font>
      <sz val="11"/>
      <color theme="1"/>
      <name val="Calibri"/>
      <family val="2"/>
    </font>
    <font>
      <b/>
      <sz val="10"/>
      <name val="Krub"/>
      <family val="2"/>
      <scheme val="minor"/>
    </font>
    <font>
      <b/>
      <sz val="10"/>
      <color rgb="FF0071CE"/>
      <name val="Calibri"/>
      <family val="2"/>
    </font>
    <font>
      <b/>
      <sz val="10"/>
      <color indexed="8"/>
      <name val="Krub"/>
      <family val="2"/>
      <scheme val="minor"/>
    </font>
    <font>
      <sz val="10"/>
      <color indexed="8"/>
      <name val="Krub"/>
      <family val="2"/>
      <scheme val="minor"/>
    </font>
    <font>
      <sz val="10"/>
      <color indexed="8"/>
      <name val="Calibri"/>
      <family val="2"/>
    </font>
    <font>
      <sz val="10"/>
      <color indexed="9"/>
      <name val="Calibri"/>
      <family val="2"/>
    </font>
    <font>
      <sz val="10"/>
      <color indexed="9"/>
      <name val="Krub"/>
      <family val="2"/>
      <scheme val="minor"/>
    </font>
    <font>
      <b/>
      <sz val="10"/>
      <color theme="1"/>
      <name val="Krub"/>
      <family val="2"/>
      <scheme val="minor"/>
    </font>
    <font>
      <b/>
      <u/>
      <sz val="11"/>
      <name val="Calibri"/>
      <family val="2"/>
    </font>
    <font>
      <b/>
      <sz val="11"/>
      <name val="Calibri"/>
      <family val="2"/>
    </font>
    <font>
      <b/>
      <sz val="10"/>
      <color theme="0"/>
      <name val="Calibri"/>
      <family val="2"/>
    </font>
    <font>
      <sz val="10"/>
      <color rgb="FF242424"/>
      <name val="Calibri"/>
      <family val="2"/>
    </font>
    <font>
      <sz val="8"/>
      <color theme="1"/>
      <name val="Arial"/>
      <family val="2"/>
    </font>
    <font>
      <sz val="10"/>
      <name val="Calibri"/>
    </font>
    <font>
      <sz val="10"/>
      <color theme="1"/>
      <name val="Calibri"/>
    </font>
    <font>
      <sz val="9"/>
      <color rgb="FF000000"/>
      <name val="Arial"/>
      <family val="2"/>
    </font>
    <font>
      <b/>
      <sz val="10"/>
      <color rgb="FF000000"/>
      <name val="Arial"/>
      <family val="2"/>
    </font>
    <font>
      <sz val="11"/>
      <color rgb="FF000000"/>
      <name val="Calibri"/>
      <family val="2"/>
    </font>
    <font>
      <b/>
      <sz val="11"/>
      <color theme="1"/>
      <name val="Calibri"/>
      <family val="2"/>
    </font>
    <font>
      <sz val="10"/>
      <color rgb="FFFF0000"/>
      <name val="Calibri"/>
      <family val="2"/>
    </font>
    <font>
      <sz val="10"/>
      <color rgb="FF000000"/>
      <name val="Calibri"/>
    </font>
    <font>
      <b/>
      <sz val="10"/>
      <color theme="1"/>
      <name val="Calibri"/>
    </font>
    <font>
      <sz val="12"/>
      <name val="Calibri"/>
      <family val="2"/>
    </font>
    <font>
      <b/>
      <sz val="12"/>
      <color theme="0"/>
      <name val="Calibri"/>
      <family val="2"/>
    </font>
    <font>
      <b/>
      <sz val="12"/>
      <name val="Calibri"/>
      <family val="2"/>
    </font>
    <font>
      <u/>
      <sz val="12"/>
      <color theme="10"/>
      <name val="Calibri"/>
      <family val="2"/>
    </font>
    <font>
      <sz val="12"/>
      <color theme="1"/>
      <name val="Calibri"/>
      <family val="2"/>
    </font>
    <font>
      <sz val="24"/>
      <color theme="1"/>
      <name val="Calibri"/>
      <family val="2"/>
    </font>
    <font>
      <sz val="24"/>
      <color theme="1"/>
      <name val="Calibri"/>
    </font>
    <font>
      <sz val="24"/>
      <color theme="0"/>
      <name val="Calibri"/>
    </font>
  </fonts>
  <fills count="6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002664"/>
        <bgColor indexed="64"/>
      </patternFill>
    </fill>
    <fill>
      <patternFill patternType="solid">
        <fgColor rgb="FF4B92DB"/>
        <bgColor indexed="64"/>
      </patternFill>
    </fill>
    <fill>
      <patternFill patternType="solid">
        <fgColor rgb="FFADA07A"/>
        <bgColor indexed="64"/>
      </patternFill>
    </fill>
    <fill>
      <patternFill patternType="solid">
        <fgColor rgb="FFF0AB00"/>
        <bgColor indexed="64"/>
      </patternFill>
    </fill>
    <fill>
      <patternFill patternType="solid">
        <fgColor rgb="FF007EA3"/>
        <bgColor indexed="64"/>
      </patternFill>
    </fill>
    <fill>
      <patternFill patternType="solid">
        <fgColor rgb="FFA8B400"/>
        <bgColor indexed="64"/>
      </patternFill>
    </fill>
    <fill>
      <patternFill patternType="solid">
        <fgColor rgb="FF240078"/>
        <bgColor indexed="64"/>
      </patternFill>
    </fill>
    <fill>
      <patternFill patternType="solid">
        <fgColor rgb="FFEA3BAE"/>
        <bgColor indexed="64"/>
      </patternFill>
    </fill>
    <fill>
      <patternFill patternType="solid">
        <fgColor rgb="FFDD3D28"/>
        <bgColor indexed="64"/>
      </patternFill>
    </fill>
    <fill>
      <patternFill patternType="solid">
        <fgColor indexed="13"/>
        <bgColor indexed="64"/>
      </patternFill>
    </fill>
    <fill>
      <patternFill patternType="solid">
        <fgColor indexed="22"/>
        <bgColor indexed="64"/>
      </patternFill>
    </fill>
    <fill>
      <patternFill patternType="solid">
        <fgColor indexed="41"/>
        <bgColor indexed="64"/>
      </patternFill>
    </fill>
    <fill>
      <patternFill patternType="solid">
        <fgColor rgb="FFFF0000"/>
        <bgColor indexed="64"/>
      </patternFill>
    </fill>
    <fill>
      <patternFill patternType="solid">
        <fgColor theme="3"/>
        <bgColor indexed="64"/>
      </patternFill>
    </fill>
    <fill>
      <patternFill patternType="solid">
        <fgColor rgb="FFE7E6E6"/>
        <bgColor rgb="FF000000"/>
      </patternFill>
    </fill>
    <fill>
      <patternFill patternType="solid">
        <fgColor rgb="FFFFFF00"/>
        <bgColor indexed="64"/>
      </patternFill>
    </fill>
    <fill>
      <patternFill patternType="solid">
        <fgColor theme="4" tint="0.79998168889431442"/>
        <bgColor indexed="64"/>
      </patternFill>
    </fill>
    <fill>
      <patternFill patternType="solid">
        <fgColor rgb="FFFFFFE0"/>
      </patternFill>
    </fill>
    <fill>
      <patternFill patternType="solid">
        <fgColor rgb="FF003595"/>
        <bgColor indexed="64"/>
      </patternFill>
    </fill>
    <fill>
      <patternFill patternType="solid">
        <fgColor rgb="FFDCECF5"/>
        <bgColor indexed="64"/>
      </patternFill>
    </fill>
    <fill>
      <patternFill patternType="solid">
        <fgColor rgb="FFD9D9D9"/>
        <bgColor indexed="64"/>
      </patternFill>
    </fill>
    <fill>
      <patternFill patternType="solid">
        <fgColor rgb="FFFFFF00"/>
      </patternFill>
    </fill>
    <fill>
      <patternFill patternType="solid">
        <fgColor theme="5" tint="0.79998168889431442"/>
        <bgColor indexed="64"/>
      </patternFill>
    </fill>
    <fill>
      <patternFill patternType="solid">
        <fgColor theme="5" tint="0.79998168889431442"/>
        <bgColor rgb="FF000000"/>
      </patternFill>
    </fill>
    <fill>
      <patternFill patternType="solid">
        <fgColor theme="0"/>
        <bgColor indexed="64"/>
      </patternFill>
    </fill>
    <fill>
      <patternFill patternType="solid">
        <fgColor theme="5" tint="0.79998168889431442"/>
        <bgColor theme="5" tint="0.79998168889431442"/>
      </patternFill>
    </fill>
    <fill>
      <patternFill patternType="solid">
        <fgColor theme="0" tint="-4.9989318521683403E-2"/>
        <bgColor indexed="64"/>
      </patternFill>
    </fill>
  </fills>
  <borders count="3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style="thin">
        <color indexed="64"/>
      </bottom>
      <diagonal/>
    </border>
    <border>
      <left/>
      <right style="thin">
        <color rgb="FF000000"/>
      </right>
      <top style="thin">
        <color rgb="FF000000"/>
      </top>
      <bottom style="thin">
        <color rgb="FF000000"/>
      </bottom>
      <diagonal/>
    </border>
    <border>
      <left/>
      <right/>
      <top/>
      <bottom style="thin">
        <color indexed="64"/>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indexed="64"/>
      </right>
      <top/>
      <bottom/>
      <diagonal/>
    </border>
    <border>
      <left style="thin">
        <color rgb="FF000000"/>
      </left>
      <right style="thin">
        <color rgb="FF000000"/>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s>
  <cellStyleXfs count="87">
    <xf numFmtId="0" fontId="0" fillId="0" borderId="0"/>
    <xf numFmtId="43" fontId="8" fillId="0" borderId="0" applyFont="0" applyFill="0" applyBorder="0" applyAlignment="0" applyProtection="0"/>
    <xf numFmtId="10" fontId="8" fillId="0" borderId="0" applyFont="0" applyFill="0" applyBorder="0" applyAlignment="0" applyProtection="0"/>
    <xf numFmtId="0" fontId="9" fillId="0" borderId="0" applyNumberFormat="0" applyFill="0" applyBorder="0" applyAlignment="0" applyProtection="0"/>
    <xf numFmtId="0" fontId="10" fillId="0" borderId="1" applyNumberFormat="0" applyFill="0" applyAlignment="0" applyProtection="0"/>
    <xf numFmtId="0" fontId="11" fillId="0" borderId="2" applyNumberFormat="0" applyFill="0" applyAlignment="0" applyProtection="0"/>
    <xf numFmtId="0" fontId="12" fillId="0" borderId="3" applyNumberFormat="0" applyFill="0" applyAlignment="0" applyProtection="0"/>
    <xf numFmtId="0" fontId="12" fillId="0" borderId="0" applyNumberFormat="0" applyFill="0" applyBorder="0" applyAlignment="0" applyProtection="0"/>
    <xf numFmtId="0" fontId="13" fillId="2" borderId="0" applyNumberFormat="0" applyBorder="0" applyAlignment="0" applyProtection="0"/>
    <xf numFmtId="0" fontId="14" fillId="3" borderId="0" applyNumberFormat="0" applyBorder="0" applyAlignment="0" applyProtection="0"/>
    <xf numFmtId="0" fontId="15" fillId="4" borderId="0" applyNumberFormat="0" applyBorder="0" applyAlignment="0" applyProtection="0"/>
    <xf numFmtId="0" fontId="16" fillId="5" borderId="4" applyNumberFormat="0" applyAlignment="0" applyProtection="0"/>
    <xf numFmtId="0" fontId="17" fillId="6" borderId="5" applyNumberFormat="0" applyAlignment="0" applyProtection="0"/>
    <xf numFmtId="0" fontId="18" fillId="6" borderId="4" applyNumberFormat="0" applyAlignment="0" applyProtection="0"/>
    <xf numFmtId="0" fontId="19" fillId="0" borderId="6" applyNumberFormat="0" applyFill="0" applyAlignment="0" applyProtection="0"/>
    <xf numFmtId="0" fontId="20" fillId="7" borderId="7" applyNumberFormat="0" applyAlignment="0" applyProtection="0"/>
    <xf numFmtId="0" fontId="20" fillId="45" borderId="0" applyNumberFormat="0" applyBorder="0" applyAlignment="0" applyProtection="0"/>
    <xf numFmtId="0" fontId="8" fillId="8" borderId="8" applyNumberFormat="0" applyFont="0" applyAlignment="0" applyProtection="0"/>
    <xf numFmtId="0" fontId="21" fillId="0" borderId="0" applyNumberFormat="0" applyFill="0" applyBorder="0" applyAlignment="0" applyProtection="0"/>
    <xf numFmtId="0" fontId="22" fillId="0" borderId="9" applyNumberFormat="0" applyFill="0" applyAlignment="0" applyProtection="0"/>
    <xf numFmtId="0" fontId="23"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23" fillId="12" borderId="0" applyNumberFormat="0" applyBorder="0" applyAlignment="0" applyProtection="0"/>
    <xf numFmtId="0" fontId="23"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23" fillId="16" borderId="0" applyNumberFormat="0" applyBorder="0" applyAlignment="0" applyProtection="0"/>
    <xf numFmtId="0" fontId="23" fillId="17"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23" fillId="20" borderId="0" applyNumberFormat="0" applyBorder="0" applyAlignment="0" applyProtection="0"/>
    <xf numFmtId="0" fontId="23" fillId="21"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23" fillId="24" borderId="0" applyNumberFormat="0" applyBorder="0" applyAlignment="0" applyProtection="0"/>
    <xf numFmtId="0" fontId="23" fillId="25"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23" fillId="28" borderId="0" applyNumberFormat="0" applyBorder="0" applyAlignment="0" applyProtection="0"/>
    <xf numFmtId="0" fontId="23" fillId="29"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23" fillId="32" borderId="0" applyNumberFormat="0" applyBorder="0" applyAlignment="0" applyProtection="0"/>
    <xf numFmtId="0" fontId="23" fillId="33" borderId="0" applyNumberFormat="0" applyBorder="0" applyAlignment="0" applyProtection="0"/>
    <xf numFmtId="0" fontId="23" fillId="34" borderId="0" applyNumberFormat="0" applyBorder="0" applyAlignment="0" applyProtection="0"/>
    <xf numFmtId="0" fontId="23" fillId="35" borderId="0" applyNumberFormat="0" applyBorder="0" applyAlignment="0" applyProtection="0"/>
    <xf numFmtId="0" fontId="23" fillId="36" borderId="0" applyNumberFormat="0" applyBorder="0" applyAlignment="0" applyProtection="0"/>
    <xf numFmtId="0" fontId="23" fillId="37" borderId="0" applyNumberFormat="0" applyBorder="0" applyAlignment="0" applyProtection="0"/>
    <xf numFmtId="0" fontId="23" fillId="38" borderId="0" applyNumberFormat="0" applyBorder="0" applyAlignment="0" applyProtection="0"/>
    <xf numFmtId="0" fontId="23" fillId="39" borderId="0" applyNumberFormat="0" applyBorder="0" applyAlignment="0" applyProtection="0"/>
    <xf numFmtId="0" fontId="23" fillId="40" borderId="0" applyNumberFormat="0" applyBorder="0" applyAlignment="0" applyProtection="0"/>
    <xf numFmtId="0" fontId="23" fillId="41" borderId="0" applyNumberFormat="0" applyBorder="0" applyAlignment="0" applyProtection="0"/>
    <xf numFmtId="165" fontId="8" fillId="42" borderId="0" applyNumberFormat="0" applyFont="0" applyBorder="0" applyAlignment="0" applyProtection="0"/>
    <xf numFmtId="0" fontId="8" fillId="43" borderId="0" applyNumberFormat="0" applyFont="0" applyBorder="0" applyAlignment="0" applyProtection="0"/>
    <xf numFmtId="166" fontId="30" fillId="0" borderId="0" applyNumberFormat="0" applyProtection="0">
      <alignment vertical="top"/>
    </xf>
    <xf numFmtId="166" fontId="31" fillId="0" borderId="0" applyNumberFormat="0" applyProtection="0">
      <alignment vertical="top"/>
    </xf>
    <xf numFmtId="166" fontId="24" fillId="44" borderId="0" applyNumberFormat="0" applyProtection="0">
      <alignment vertical="top"/>
    </xf>
    <xf numFmtId="9" fontId="8" fillId="0" borderId="0" applyFont="0" applyFill="0" applyBorder="0" applyAlignment="0" applyProtection="0"/>
    <xf numFmtId="0" fontId="32" fillId="0" borderId="0" applyNumberFormat="0" applyFill="0" applyBorder="0" applyProtection="0">
      <alignment vertical="top"/>
    </xf>
    <xf numFmtId="167" fontId="24" fillId="0" borderId="0" applyFont="0" applyFill="0" applyBorder="0" applyProtection="0">
      <alignment vertical="top"/>
    </xf>
    <xf numFmtId="168" fontId="24" fillId="0" borderId="0" applyFont="0" applyFill="0" applyBorder="0" applyProtection="0">
      <alignment vertical="top"/>
    </xf>
    <xf numFmtId="169" fontId="24" fillId="0" borderId="0" applyFont="0" applyFill="0" applyBorder="0" applyProtection="0">
      <alignment vertical="top"/>
    </xf>
    <xf numFmtId="0" fontId="25" fillId="0" borderId="0"/>
    <xf numFmtId="0" fontId="26" fillId="0" borderId="0"/>
    <xf numFmtId="0" fontId="27" fillId="0" borderId="0"/>
    <xf numFmtId="168" fontId="28" fillId="0" borderId="0" applyNumberFormat="0" applyFill="0" applyBorder="0" applyProtection="0">
      <alignment vertical="top"/>
    </xf>
    <xf numFmtId="0" fontId="29" fillId="0" borderId="0" applyNumberFormat="0" applyFill="0" applyBorder="0" applyProtection="0">
      <alignment vertical="top"/>
    </xf>
    <xf numFmtId="0" fontId="24" fillId="0" borderId="0" applyNumberFormat="0" applyFill="0" applyBorder="0" applyProtection="0">
      <alignment horizontal="right" vertical="top"/>
    </xf>
    <xf numFmtId="0" fontId="24" fillId="0" borderId="0"/>
    <xf numFmtId="0" fontId="33" fillId="0" borderId="0"/>
    <xf numFmtId="0" fontId="7" fillId="0" borderId="0"/>
    <xf numFmtId="9" fontId="7" fillId="0" borderId="0" applyFont="0" applyFill="0" applyBorder="0" applyAlignment="0" applyProtection="0"/>
    <xf numFmtId="0" fontId="6" fillId="0" borderId="0"/>
    <xf numFmtId="0" fontId="5" fillId="0" borderId="0"/>
    <xf numFmtId="164" fontId="45" fillId="0" borderId="0" applyFont="0" applyFill="0" applyBorder="0" applyProtection="0">
      <alignment vertical="top"/>
    </xf>
    <xf numFmtId="164" fontId="46" fillId="0" borderId="0" applyFill="0" applyBorder="0" applyProtection="0">
      <alignment vertical="top"/>
    </xf>
    <xf numFmtId="175" fontId="46" fillId="0" borderId="0" applyFont="0" applyFill="0" applyBorder="0" applyProtection="0">
      <alignment vertical="top"/>
    </xf>
    <xf numFmtId="0" fontId="48" fillId="0" borderId="0" applyNumberFormat="0" applyFill="0" applyBorder="0" applyAlignment="0" applyProtection="0"/>
    <xf numFmtId="0" fontId="4" fillId="0" borderId="0"/>
    <xf numFmtId="0" fontId="4" fillId="0" borderId="0"/>
    <xf numFmtId="0" fontId="3" fillId="0" borderId="0"/>
    <xf numFmtId="0" fontId="2" fillId="0" borderId="0"/>
    <xf numFmtId="0" fontId="53" fillId="0" borderId="0"/>
    <xf numFmtId="0" fontId="35" fillId="0" borderId="0"/>
    <xf numFmtId="0" fontId="2" fillId="0" borderId="0"/>
    <xf numFmtId="0" fontId="8" fillId="0" borderId="0"/>
  </cellStyleXfs>
  <cellXfs count="391">
    <xf numFmtId="0" fontId="0" fillId="0" borderId="0" xfId="0"/>
    <xf numFmtId="0" fontId="35" fillId="0" borderId="0" xfId="0" applyFont="1"/>
    <xf numFmtId="0" fontId="39" fillId="0" borderId="0" xfId="0" applyFont="1"/>
    <xf numFmtId="0" fontId="40" fillId="0" borderId="0" xfId="0" applyFont="1"/>
    <xf numFmtId="0" fontId="38" fillId="0" borderId="0" xfId="0" applyFont="1"/>
    <xf numFmtId="0" fontId="39" fillId="0" borderId="10" xfId="0" applyFont="1" applyBorder="1"/>
    <xf numFmtId="0" fontId="38" fillId="47" borderId="10" xfId="0" applyFont="1" applyFill="1" applyBorder="1" applyAlignment="1">
      <alignment wrapText="1"/>
    </xf>
    <xf numFmtId="0" fontId="38" fillId="47" borderId="15" xfId="0" applyFont="1" applyFill="1" applyBorder="1" applyAlignment="1">
      <alignment wrapText="1"/>
    </xf>
    <xf numFmtId="170" fontId="0" fillId="0" borderId="0" xfId="0" applyNumberFormat="1"/>
    <xf numFmtId="0" fontId="43" fillId="0" borderId="0" xfId="0" applyFont="1"/>
    <xf numFmtId="0" fontId="37" fillId="0" borderId="0" xfId="0" applyFont="1"/>
    <xf numFmtId="171" fontId="0" fillId="0" borderId="0" xfId="0" applyNumberFormat="1"/>
    <xf numFmtId="172" fontId="0" fillId="0" borderId="0" xfId="0" applyNumberFormat="1"/>
    <xf numFmtId="0" fontId="36" fillId="0" borderId="0" xfId="0" applyFont="1"/>
    <xf numFmtId="0" fontId="0" fillId="46" borderId="0" xfId="0" applyFill="1"/>
    <xf numFmtId="0" fontId="7" fillId="0" borderId="0" xfId="71"/>
    <xf numFmtId="0" fontId="35" fillId="0" borderId="10" xfId="0" applyFont="1" applyBorder="1"/>
    <xf numFmtId="171" fontId="35" fillId="0" borderId="0" xfId="0" applyNumberFormat="1" applyFont="1"/>
    <xf numFmtId="164" fontId="51" fillId="0" borderId="0" xfId="0" applyNumberFormat="1" applyFont="1" applyAlignment="1">
      <alignment vertical="top"/>
    </xf>
    <xf numFmtId="0" fontId="50" fillId="0" borderId="10" xfId="0" applyFont="1" applyBorder="1"/>
    <xf numFmtId="0" fontId="46" fillId="0" borderId="10" xfId="0" applyFont="1" applyBorder="1"/>
    <xf numFmtId="0" fontId="38" fillId="47" borderId="15" xfId="0" applyFont="1" applyFill="1" applyBorder="1" applyAlignment="1">
      <alignment vertical="center" wrapText="1"/>
    </xf>
    <xf numFmtId="0" fontId="7" fillId="0" borderId="0" xfId="71" applyAlignment="1">
      <alignment vertical="center"/>
    </xf>
    <xf numFmtId="9" fontId="46" fillId="0" borderId="10" xfId="72" applyFont="1" applyFill="1" applyBorder="1" applyAlignment="1">
      <alignment horizontal="center" vertical="center" wrapText="1"/>
    </xf>
    <xf numFmtId="2" fontId="35" fillId="0" borderId="10" xfId="0" applyNumberFormat="1" applyFont="1" applyBorder="1"/>
    <xf numFmtId="0" fontId="50" fillId="0" borderId="10" xfId="0" applyFont="1" applyBorder="1" applyAlignment="1">
      <alignment horizontal="center"/>
    </xf>
    <xf numFmtId="2" fontId="46" fillId="0" borderId="10" xfId="0" applyNumberFormat="1" applyFont="1" applyBorder="1"/>
    <xf numFmtId="0" fontId="0" fillId="0" borderId="0" xfId="0" applyAlignment="1">
      <alignment vertical="center" wrapText="1"/>
    </xf>
    <xf numFmtId="2" fontId="7" fillId="0" borderId="0" xfId="71" applyNumberFormat="1"/>
    <xf numFmtId="2" fontId="0" fillId="0" borderId="0" xfId="0" applyNumberFormat="1"/>
    <xf numFmtId="2" fontId="35" fillId="49" borderId="10" xfId="0" applyNumberFormat="1" applyFont="1" applyFill="1" applyBorder="1"/>
    <xf numFmtId="0" fontId="52" fillId="0" borderId="0" xfId="0" applyFont="1"/>
    <xf numFmtId="0" fontId="35" fillId="0" borderId="10" xfId="71" applyFont="1" applyBorder="1" applyAlignment="1">
      <alignment horizontal="right" vertical="center"/>
    </xf>
    <xf numFmtId="0" fontId="35" fillId="0" borderId="10" xfId="71" applyFont="1" applyBorder="1" applyAlignment="1">
      <alignment horizontal="right" vertical="center" wrapText="1"/>
    </xf>
    <xf numFmtId="0" fontId="38" fillId="47" borderId="15" xfId="0" applyFont="1" applyFill="1" applyBorder="1" applyAlignment="1">
      <alignment horizontal="center" wrapText="1"/>
    </xf>
    <xf numFmtId="177" fontId="0" fillId="0" borderId="0" xfId="0" applyNumberFormat="1"/>
    <xf numFmtId="44" fontId="0" fillId="0" borderId="0" xfId="0" applyNumberFormat="1"/>
    <xf numFmtId="0" fontId="35" fillId="0" borderId="10" xfId="71" applyFont="1" applyBorder="1"/>
    <xf numFmtId="2" fontId="35" fillId="0" borderId="10" xfId="71" applyNumberFormat="1" applyFont="1" applyBorder="1"/>
    <xf numFmtId="0" fontId="35" fillId="0" borderId="10" xfId="71" applyFont="1" applyBorder="1" applyAlignment="1">
      <alignment vertical="center" wrapText="1"/>
    </xf>
    <xf numFmtId="0" fontId="46" fillId="0" borderId="10" xfId="71" applyFont="1" applyBorder="1" applyAlignment="1">
      <alignment vertical="center" wrapText="1"/>
    </xf>
    <xf numFmtId="0" fontId="50" fillId="0" borderId="0" xfId="0" applyFont="1"/>
    <xf numFmtId="2" fontId="35" fillId="0" borderId="0" xfId="0" applyNumberFormat="1" applyFont="1"/>
    <xf numFmtId="0" fontId="0" fillId="0" borderId="0" xfId="0" applyAlignment="1">
      <alignment horizontal="center"/>
    </xf>
    <xf numFmtId="171" fontId="0" fillId="0" borderId="0" xfId="0" applyNumberFormat="1" applyAlignment="1">
      <alignment horizontal="center"/>
    </xf>
    <xf numFmtId="10" fontId="0" fillId="0" borderId="0" xfId="2" applyFont="1" applyAlignment="1">
      <alignment horizontal="center"/>
    </xf>
    <xf numFmtId="10" fontId="35" fillId="0" borderId="10" xfId="2" applyFont="1" applyBorder="1"/>
    <xf numFmtId="0" fontId="49" fillId="0" borderId="0" xfId="83" applyFont="1"/>
    <xf numFmtId="0" fontId="54" fillId="0" borderId="0" xfId="83" applyFont="1" applyAlignment="1">
      <alignment vertical="top"/>
    </xf>
    <xf numFmtId="0" fontId="47" fillId="0" borderId="0" xfId="83" applyFont="1" applyAlignment="1">
      <alignment vertical="top"/>
    </xf>
    <xf numFmtId="0" fontId="46" fillId="0" borderId="0" xfId="83" applyFont="1" applyAlignment="1">
      <alignment vertical="top"/>
    </xf>
    <xf numFmtId="0" fontId="46" fillId="0" borderId="0" xfId="83" applyFont="1" applyAlignment="1">
      <alignment horizontal="center" vertical="top"/>
    </xf>
    <xf numFmtId="0" fontId="55" fillId="52" borderId="0" xfId="84" applyFont="1" applyFill="1" applyAlignment="1">
      <alignment vertical="center"/>
    </xf>
    <xf numFmtId="0" fontId="56" fillId="0" borderId="0" xfId="83" applyFont="1" applyAlignment="1">
      <alignment vertical="top"/>
    </xf>
    <xf numFmtId="0" fontId="57" fillId="0" borderId="0" xfId="83" applyFont="1" applyAlignment="1">
      <alignment vertical="top"/>
    </xf>
    <xf numFmtId="0" fontId="58" fillId="0" borderId="0" xfId="83" applyFont="1" applyAlignment="1">
      <alignment vertical="top"/>
    </xf>
    <xf numFmtId="0" fontId="41" fillId="0" borderId="0" xfId="83" applyFont="1" applyAlignment="1">
      <alignment horizontal="centerContinuous" vertical="top"/>
    </xf>
    <xf numFmtId="0" fontId="59" fillId="0" borderId="0" xfId="83" applyFont="1" applyAlignment="1">
      <alignment horizontal="centerContinuous" vertical="top"/>
    </xf>
    <xf numFmtId="0" fontId="46" fillId="0" borderId="0" xfId="83" applyFont="1" applyAlignment="1">
      <alignment horizontal="centerContinuous" vertical="top"/>
    </xf>
    <xf numFmtId="0" fontId="60" fillId="0" borderId="0" xfId="83" applyFont="1" applyAlignment="1">
      <alignment horizontal="centerContinuous" vertical="top"/>
    </xf>
    <xf numFmtId="0" fontId="41" fillId="0" borderId="0" xfId="83" applyFont="1" applyAlignment="1">
      <alignment horizontal="center" vertical="top"/>
    </xf>
    <xf numFmtId="0" fontId="47" fillId="0" borderId="0" xfId="83" applyFont="1" applyAlignment="1">
      <alignment horizontal="center" vertical="top"/>
    </xf>
    <xf numFmtId="0" fontId="61" fillId="53" borderId="0" xfId="83" applyFont="1" applyFill="1" applyAlignment="1">
      <alignment vertical="top"/>
    </xf>
    <xf numFmtId="0" fontId="61" fillId="53" borderId="0" xfId="83" applyFont="1" applyFill="1" applyAlignment="1">
      <alignment wrapText="1"/>
    </xf>
    <xf numFmtId="0" fontId="61" fillId="53" borderId="0" xfId="83" applyFont="1" applyFill="1" applyAlignment="1">
      <alignment horizontal="left" vertical="center" wrapText="1"/>
    </xf>
    <xf numFmtId="0" fontId="61" fillId="53" borderId="0" xfId="83" applyFont="1" applyFill="1" applyAlignment="1">
      <alignment vertical="top" wrapText="1"/>
    </xf>
    <xf numFmtId="0" fontId="49" fillId="0" borderId="0" xfId="83" applyFont="1" applyAlignment="1">
      <alignment vertical="top"/>
    </xf>
    <xf numFmtId="0" fontId="8" fillId="0" borderId="0" xfId="86" applyAlignment="1">
      <alignment vertical="center" wrapText="1"/>
    </xf>
    <xf numFmtId="0" fontId="62" fillId="0" borderId="0" xfId="0" applyFont="1"/>
    <xf numFmtId="0" fontId="63" fillId="54" borderId="0" xfId="0" applyFont="1" applyFill="1"/>
    <xf numFmtId="0" fontId="38" fillId="47" borderId="15" xfId="86" applyFont="1" applyFill="1" applyBorder="1" applyAlignment="1">
      <alignment vertical="center" wrapText="1"/>
    </xf>
    <xf numFmtId="0" fontId="46" fillId="0" borderId="0" xfId="0" applyFont="1"/>
    <xf numFmtId="2" fontId="46" fillId="0" borderId="0" xfId="0" applyNumberFormat="1" applyFont="1"/>
    <xf numFmtId="0" fontId="35" fillId="0" borderId="13" xfId="71" applyFont="1" applyBorder="1" applyAlignment="1">
      <alignment vertical="center"/>
    </xf>
    <xf numFmtId="0" fontId="23" fillId="0" borderId="0" xfId="0" applyFont="1"/>
    <xf numFmtId="10" fontId="35" fillId="49" borderId="10" xfId="2" applyFont="1" applyFill="1" applyBorder="1"/>
    <xf numFmtId="0" fontId="35" fillId="0" borderId="15" xfId="0" applyFont="1" applyBorder="1"/>
    <xf numFmtId="0" fontId="35" fillId="0" borderId="18" xfId="0" applyFont="1" applyBorder="1"/>
    <xf numFmtId="0" fontId="35" fillId="0" borderId="13" xfId="0" applyFont="1" applyBorder="1"/>
    <xf numFmtId="0" fontId="38" fillId="47" borderId="10" xfId="0" applyFont="1" applyFill="1" applyBorder="1" applyAlignment="1">
      <alignment vertical="center" wrapText="1"/>
    </xf>
    <xf numFmtId="0" fontId="38" fillId="47" borderId="10" xfId="0" applyFont="1" applyFill="1" applyBorder="1" applyAlignment="1">
      <alignment horizontal="center" vertical="center" wrapText="1"/>
    </xf>
    <xf numFmtId="0" fontId="38" fillId="47" borderId="15" xfId="0" applyFont="1" applyFill="1" applyBorder="1" applyAlignment="1">
      <alignment horizontal="center" vertical="center" wrapText="1"/>
    </xf>
    <xf numFmtId="0" fontId="38" fillId="47" borderId="19" xfId="0" applyFont="1" applyFill="1" applyBorder="1" applyAlignment="1">
      <alignment horizontal="center" vertical="center" wrapText="1"/>
    </xf>
    <xf numFmtId="0" fontId="38" fillId="47" borderId="23" xfId="0" applyFont="1" applyFill="1" applyBorder="1" applyAlignment="1">
      <alignment horizontal="center" vertical="center" wrapText="1"/>
    </xf>
    <xf numFmtId="2" fontId="35" fillId="0" borderId="10" xfId="71" applyNumberFormat="1" applyFont="1" applyBorder="1" applyAlignment="1">
      <alignment vertical="center"/>
    </xf>
    <xf numFmtId="2" fontId="35" fillId="0" borderId="17" xfId="0" applyNumberFormat="1" applyFont="1" applyBorder="1" applyAlignment="1">
      <alignment vertical="center"/>
    </xf>
    <xf numFmtId="2" fontId="35" fillId="0" borderId="13" xfId="71" applyNumberFormat="1" applyFont="1" applyBorder="1" applyAlignment="1">
      <alignment horizontal="right" vertical="center"/>
    </xf>
    <xf numFmtId="2" fontId="46" fillId="0" borderId="15" xfId="71" applyNumberFormat="1" applyFont="1" applyBorder="1" applyAlignment="1">
      <alignment horizontal="right" vertical="center" wrapText="1"/>
    </xf>
    <xf numFmtId="2" fontId="46" fillId="0" borderId="10" xfId="71" applyNumberFormat="1" applyFont="1" applyBorder="1" applyAlignment="1">
      <alignment horizontal="right" vertical="center" wrapText="1"/>
    </xf>
    <xf numFmtId="2" fontId="46" fillId="0" borderId="10" xfId="71" applyNumberFormat="1" applyFont="1" applyBorder="1" applyAlignment="1">
      <alignment horizontal="right" vertical="center"/>
    </xf>
    <xf numFmtId="2" fontId="35" fillId="0" borderId="10" xfId="71" applyNumberFormat="1" applyFont="1" applyBorder="1" applyAlignment="1">
      <alignment horizontal="right" vertical="center"/>
    </xf>
    <xf numFmtId="2" fontId="46" fillId="0" borderId="13" xfId="71" applyNumberFormat="1" applyFont="1" applyBorder="1" applyAlignment="1">
      <alignment horizontal="right" vertical="center"/>
    </xf>
    <xf numFmtId="2" fontId="35" fillId="0" borderId="10" xfId="71" applyNumberFormat="1" applyFont="1" applyBorder="1" applyAlignment="1">
      <alignment horizontal="right" vertical="center" wrapText="1"/>
    </xf>
    <xf numFmtId="2" fontId="46" fillId="0" borderId="12" xfId="71" applyNumberFormat="1" applyFont="1" applyBorder="1" applyAlignment="1">
      <alignment horizontal="right" vertical="center"/>
    </xf>
    <xf numFmtId="2" fontId="46" fillId="0" borderId="14" xfId="71" applyNumberFormat="1" applyFont="1" applyBorder="1" applyAlignment="1">
      <alignment horizontal="right" vertical="center"/>
    </xf>
    <xf numFmtId="0" fontId="20" fillId="46" borderId="0" xfId="0" applyFont="1" applyFill="1"/>
    <xf numFmtId="0" fontId="20" fillId="46" borderId="0" xfId="0" applyFont="1" applyFill="1" applyAlignment="1">
      <alignment vertical="center"/>
    </xf>
    <xf numFmtId="0" fontId="64" fillId="46" borderId="0" xfId="0" applyFont="1" applyFill="1" applyAlignment="1">
      <alignment vertical="center"/>
    </xf>
    <xf numFmtId="2" fontId="46" fillId="0" borderId="10" xfId="71" applyNumberFormat="1" applyFont="1" applyBorder="1" applyAlignment="1">
      <alignment vertical="center" wrapText="1"/>
    </xf>
    <xf numFmtId="2" fontId="35" fillId="0" borderId="10" xfId="71" applyNumberFormat="1" applyFont="1" applyBorder="1" applyAlignment="1">
      <alignment vertical="center" wrapText="1"/>
    </xf>
    <xf numFmtId="2" fontId="66" fillId="0" borderId="0" xfId="0" applyNumberFormat="1" applyFont="1"/>
    <xf numFmtId="2" fontId="35" fillId="0" borderId="10" xfId="0" applyNumberFormat="1" applyFont="1" applyBorder="1" applyAlignment="1">
      <alignment horizontal="right" vertical="center"/>
    </xf>
    <xf numFmtId="2" fontId="50" fillId="0" borderId="10" xfId="0" applyNumberFormat="1" applyFont="1" applyBorder="1" applyAlignment="1">
      <alignment horizontal="right" vertical="center"/>
    </xf>
    <xf numFmtId="0" fontId="39" fillId="0" borderId="10" xfId="0" applyFont="1" applyBorder="1" applyAlignment="1">
      <alignment vertical="center"/>
    </xf>
    <xf numFmtId="2" fontId="35" fillId="0" borderId="10" xfId="0" applyNumberFormat="1" applyFont="1" applyBorder="1" applyAlignment="1">
      <alignment vertical="center" wrapText="1"/>
    </xf>
    <xf numFmtId="2" fontId="39" fillId="0" borderId="10" xfId="0" applyNumberFormat="1" applyFont="1" applyBorder="1" applyAlignment="1">
      <alignment horizontal="right" vertical="center"/>
    </xf>
    <xf numFmtId="10" fontId="35" fillId="0" borderId="10" xfId="2" applyFont="1" applyBorder="1" applyAlignment="1">
      <alignment vertical="center"/>
    </xf>
    <xf numFmtId="0" fontId="35" fillId="0" borderId="10" xfId="0" applyFont="1" applyBorder="1" applyAlignment="1">
      <alignment vertical="center"/>
    </xf>
    <xf numFmtId="0" fontId="38" fillId="0" borderId="10" xfId="0" applyFont="1" applyBorder="1" applyAlignment="1">
      <alignment vertical="center"/>
    </xf>
    <xf numFmtId="2" fontId="50" fillId="0" borderId="10" xfId="0" applyNumberFormat="1" applyFont="1" applyBorder="1" applyAlignment="1">
      <alignment vertical="center"/>
    </xf>
    <xf numFmtId="2" fontId="41" fillId="0" borderId="10" xfId="0" applyNumberFormat="1" applyFont="1" applyBorder="1" applyAlignment="1">
      <alignment vertical="center"/>
    </xf>
    <xf numFmtId="0" fontId="38" fillId="56" borderId="15" xfId="0" applyFont="1" applyFill="1" applyBorder="1" applyAlignment="1">
      <alignment vertical="center" wrapText="1"/>
    </xf>
    <xf numFmtId="0" fontId="35" fillId="0" borderId="0" xfId="71" applyFont="1"/>
    <xf numFmtId="2" fontId="35" fillId="57" borderId="10" xfId="71" applyNumberFormat="1" applyFont="1" applyFill="1" applyBorder="1" applyAlignment="1">
      <alignment horizontal="right" vertical="center"/>
    </xf>
    <xf numFmtId="0" fontId="38" fillId="47" borderId="14" xfId="0" applyFont="1" applyFill="1" applyBorder="1" applyAlignment="1">
      <alignment horizontal="center" vertical="center" wrapText="1"/>
    </xf>
    <xf numFmtId="170" fontId="35" fillId="0" borderId="0" xfId="0" applyNumberFormat="1" applyFont="1"/>
    <xf numFmtId="179" fontId="0" fillId="0" borderId="0" xfId="0" applyNumberFormat="1"/>
    <xf numFmtId="2" fontId="67" fillId="0" borderId="10" xfId="71" applyNumberFormat="1" applyFont="1" applyBorder="1" applyAlignment="1">
      <alignment horizontal="right" vertical="center" wrapText="1"/>
    </xf>
    <xf numFmtId="2" fontId="68" fillId="57" borderId="10" xfId="71" applyNumberFormat="1" applyFont="1" applyFill="1" applyBorder="1" applyAlignment="1">
      <alignment horizontal="right" vertical="center"/>
    </xf>
    <xf numFmtId="0" fontId="38" fillId="47" borderId="17" xfId="0" applyFont="1" applyFill="1" applyBorder="1" applyAlignment="1">
      <alignment horizontal="center" vertical="center" wrapText="1"/>
    </xf>
    <xf numFmtId="0" fontId="1" fillId="0" borderId="0" xfId="71" applyFont="1"/>
    <xf numFmtId="0" fontId="38" fillId="47" borderId="16" xfId="0" applyFont="1" applyFill="1" applyBorder="1" applyAlignment="1">
      <alignment horizontal="center" vertical="center" wrapText="1"/>
    </xf>
    <xf numFmtId="10" fontId="1" fillId="0" borderId="0" xfId="2" applyFont="1"/>
    <xf numFmtId="180" fontId="1" fillId="0" borderId="0" xfId="71" applyNumberFormat="1" applyFont="1"/>
    <xf numFmtId="0" fontId="38" fillId="47" borderId="13" xfId="0" applyFont="1" applyFill="1" applyBorder="1" applyAlignment="1">
      <alignment horizontal="center" vertical="center" wrapText="1"/>
    </xf>
    <xf numFmtId="0" fontId="53" fillId="0" borderId="0" xfId="71" applyFont="1"/>
    <xf numFmtId="2" fontId="53" fillId="0" borderId="0" xfId="71" applyNumberFormat="1" applyFont="1"/>
    <xf numFmtId="0" fontId="35" fillId="0" borderId="17" xfId="0" applyFont="1" applyBorder="1" applyAlignment="1">
      <alignment horizontal="center"/>
    </xf>
    <xf numFmtId="0" fontId="0" fillId="0" borderId="0" xfId="0" applyAlignment="1">
      <alignment vertical="center"/>
    </xf>
    <xf numFmtId="0" fontId="69" fillId="0" borderId="0" xfId="0" applyFont="1" applyAlignment="1">
      <alignment horizontal="center"/>
    </xf>
    <xf numFmtId="0" fontId="46" fillId="0" borderId="0" xfId="71" applyFont="1" applyAlignment="1">
      <alignment wrapText="1"/>
    </xf>
    <xf numFmtId="0" fontId="35" fillId="0" borderId="0" xfId="71" applyFont="1" applyAlignment="1">
      <alignment vertical="center" wrapText="1"/>
    </xf>
    <xf numFmtId="0" fontId="35" fillId="0" borderId="10" xfId="71" applyFont="1" applyBorder="1" applyAlignment="1">
      <alignment horizontal="center" vertical="center"/>
    </xf>
    <xf numFmtId="10" fontId="53" fillId="0" borderId="0" xfId="2" applyFont="1"/>
    <xf numFmtId="0" fontId="35" fillId="0" borderId="10" xfId="0" applyFont="1" applyBorder="1" applyAlignment="1">
      <alignment horizontal="center"/>
    </xf>
    <xf numFmtId="0" fontId="38" fillId="47" borderId="18" xfId="0" applyFont="1" applyFill="1" applyBorder="1" applyAlignment="1">
      <alignment horizontal="center" vertical="center" wrapText="1"/>
    </xf>
    <xf numFmtId="0" fontId="70" fillId="0" borderId="0" xfId="0" applyFont="1"/>
    <xf numFmtId="0" fontId="71" fillId="0" borderId="0" xfId="0" applyFont="1"/>
    <xf numFmtId="0" fontId="38" fillId="47" borderId="26" xfId="0" applyFont="1" applyFill="1" applyBorder="1" applyAlignment="1">
      <alignment horizontal="center" vertical="center" wrapText="1"/>
    </xf>
    <xf numFmtId="0" fontId="38" fillId="47" borderId="27" xfId="0" applyFont="1" applyFill="1" applyBorder="1" applyAlignment="1">
      <alignment horizontal="center" vertical="center" wrapText="1"/>
    </xf>
    <xf numFmtId="0" fontId="38" fillId="47" borderId="28" xfId="0" applyFont="1" applyFill="1" applyBorder="1" applyAlignment="1">
      <alignment horizontal="center" vertical="center" wrapText="1"/>
    </xf>
    <xf numFmtId="0" fontId="35" fillId="0" borderId="13" xfId="71" applyFont="1" applyBorder="1" applyAlignment="1">
      <alignment vertical="center" wrapText="1"/>
    </xf>
    <xf numFmtId="0" fontId="35" fillId="0" borderId="10" xfId="71" applyFont="1" applyBorder="1" applyAlignment="1">
      <alignment vertical="center"/>
    </xf>
    <xf numFmtId="0" fontId="68" fillId="0" borderId="10" xfId="71" applyFont="1" applyBorder="1" applyAlignment="1">
      <alignment vertical="center" wrapText="1"/>
    </xf>
    <xf numFmtId="9" fontId="46" fillId="0" borderId="10" xfId="72" applyFont="1" applyBorder="1" applyAlignment="1">
      <alignment vertical="center"/>
    </xf>
    <xf numFmtId="9" fontId="35" fillId="0" borderId="10" xfId="72" applyFont="1" applyFill="1" applyBorder="1" applyAlignment="1">
      <alignment horizontal="center" vertical="center" wrapText="1"/>
    </xf>
    <xf numFmtId="9" fontId="35" fillId="0" borderId="17" xfId="72" applyFont="1" applyFill="1" applyBorder="1" applyAlignment="1">
      <alignment horizontal="center" vertical="center" wrapText="1"/>
    </xf>
    <xf numFmtId="9" fontId="35" fillId="0" borderId="16" xfId="72" applyFont="1" applyFill="1" applyBorder="1" applyAlignment="1">
      <alignment horizontal="center" vertical="center" wrapText="1"/>
    </xf>
    <xf numFmtId="9" fontId="46" fillId="0" borderId="13" xfId="72" applyFont="1" applyBorder="1" applyAlignment="1">
      <alignment vertical="center"/>
    </xf>
    <xf numFmtId="0" fontId="0" fillId="0" borderId="10" xfId="0" applyBorder="1"/>
    <xf numFmtId="171" fontId="73" fillId="0" borderId="0" xfId="0" applyNumberFormat="1" applyFont="1"/>
    <xf numFmtId="10" fontId="1" fillId="0" borderId="0" xfId="2" applyFont="1" applyBorder="1"/>
    <xf numFmtId="10" fontId="53" fillId="0" borderId="0" xfId="2" applyFont="1" applyBorder="1"/>
    <xf numFmtId="2" fontId="35" fillId="57" borderId="10" xfId="0" applyNumberFormat="1" applyFont="1" applyFill="1" applyBorder="1"/>
    <xf numFmtId="170" fontId="35" fillId="0" borderId="0" xfId="0" applyNumberFormat="1" applyFont="1" applyAlignment="1">
      <alignment horizontal="center"/>
    </xf>
    <xf numFmtId="0" fontId="35" fillId="0" borderId="0" xfId="0" applyFont="1" applyAlignment="1">
      <alignment horizontal="center"/>
    </xf>
    <xf numFmtId="9" fontId="46" fillId="0" borderId="10" xfId="72" applyFont="1" applyBorder="1" applyAlignment="1">
      <alignment vertical="center" wrapText="1"/>
    </xf>
    <xf numFmtId="170" fontId="35" fillId="0" borderId="10" xfId="0" applyNumberFormat="1" applyFont="1" applyBorder="1"/>
    <xf numFmtId="0" fontId="39" fillId="0" borderId="21" xfId="0" applyFont="1" applyBorder="1" applyAlignment="1">
      <alignment vertical="center" wrapText="1"/>
    </xf>
    <xf numFmtId="0" fontId="68" fillId="0" borderId="10" xfId="0" applyFont="1" applyBorder="1"/>
    <xf numFmtId="0" fontId="67" fillId="0" borderId="10" xfId="0" applyFont="1" applyBorder="1"/>
    <xf numFmtId="2" fontId="68" fillId="0" borderId="10" xfId="0" applyNumberFormat="1" applyFont="1" applyBorder="1"/>
    <xf numFmtId="2" fontId="68" fillId="57" borderId="10" xfId="0" applyNumberFormat="1" applyFont="1" applyFill="1" applyBorder="1"/>
    <xf numFmtId="0" fontId="75" fillId="0" borderId="10" xfId="0" applyFont="1" applyBorder="1"/>
    <xf numFmtId="0" fontId="50" fillId="0" borderId="17" xfId="0" applyFont="1" applyBorder="1" applyAlignment="1">
      <alignment horizontal="center"/>
    </xf>
    <xf numFmtId="0" fontId="68" fillId="0" borderId="0" xfId="0" applyFont="1"/>
    <xf numFmtId="2" fontId="68" fillId="0" borderId="0" xfId="0" applyNumberFormat="1" applyFont="1"/>
    <xf numFmtId="0" fontId="50" fillId="0" borderId="10" xfId="0" applyFont="1" applyBorder="1" applyAlignment="1">
      <alignment horizontal="left"/>
    </xf>
    <xf numFmtId="0" fontId="35" fillId="0" borderId="10" xfId="0" applyFont="1" applyBorder="1" applyAlignment="1">
      <alignment horizontal="left"/>
    </xf>
    <xf numFmtId="2" fontId="35" fillId="0" borderId="15" xfId="71" applyNumberFormat="1" applyFont="1" applyBorder="1" applyAlignment="1">
      <alignment vertical="center" wrapText="1"/>
    </xf>
    <xf numFmtId="2" fontId="46" fillId="0" borderId="15" xfId="71" applyNumberFormat="1" applyFont="1" applyBorder="1" applyAlignment="1">
      <alignment horizontal="right" vertical="center"/>
    </xf>
    <xf numFmtId="0" fontId="39" fillId="0" borderId="10" xfId="0" applyFont="1" applyBorder="1" applyAlignment="1">
      <alignment vertical="center" wrapText="1"/>
    </xf>
    <xf numFmtId="2" fontId="39" fillId="0" borderId="10" xfId="0" applyNumberFormat="1" applyFont="1" applyBorder="1" applyAlignment="1">
      <alignment horizontal="right" vertical="center" wrapText="1"/>
    </xf>
    <xf numFmtId="10" fontId="35" fillId="0" borderId="10" xfId="2" applyFont="1" applyBorder="1" applyAlignment="1">
      <alignment vertical="center" wrapText="1"/>
    </xf>
    <xf numFmtId="0" fontId="35" fillId="0" borderId="10" xfId="0" applyFont="1" applyBorder="1" applyAlignment="1">
      <alignment vertical="center" wrapText="1"/>
    </xf>
    <xf numFmtId="2" fontId="35" fillId="0" borderId="10" xfId="0" applyNumberFormat="1" applyFont="1" applyBorder="1" applyAlignment="1">
      <alignment horizontal="right" vertical="center" wrapText="1"/>
    </xf>
    <xf numFmtId="0" fontId="38" fillId="55" borderId="13" xfId="0" applyFont="1" applyFill="1" applyBorder="1" applyAlignment="1">
      <alignment horizontal="center" vertical="center" wrapText="1"/>
    </xf>
    <xf numFmtId="0" fontId="38" fillId="55" borderId="23" xfId="0" applyFont="1" applyFill="1" applyBorder="1" applyAlignment="1">
      <alignment horizontal="center" vertical="center" wrapText="1"/>
    </xf>
    <xf numFmtId="0" fontId="35" fillId="0" borderId="10" xfId="71" applyFont="1" applyBorder="1" applyAlignment="1">
      <alignment wrapText="1"/>
    </xf>
    <xf numFmtId="0" fontId="35" fillId="0" borderId="0" xfId="71" applyFont="1" applyAlignment="1">
      <alignment wrapText="1"/>
    </xf>
    <xf numFmtId="2" fontId="35" fillId="0" borderId="17" xfId="71" applyNumberFormat="1" applyFont="1" applyBorder="1" applyAlignment="1">
      <alignment vertical="center"/>
    </xf>
    <xf numFmtId="2" fontId="35" fillId="0" borderId="12" xfId="71" applyNumberFormat="1" applyFont="1" applyBorder="1" applyAlignment="1">
      <alignment vertical="center"/>
    </xf>
    <xf numFmtId="2" fontId="35" fillId="0" borderId="23" xfId="71" applyNumberFormat="1" applyFont="1" applyBorder="1" applyAlignment="1">
      <alignment vertical="center"/>
    </xf>
    <xf numFmtId="9" fontId="35" fillId="0" borderId="10" xfId="72" applyFont="1" applyBorder="1" applyAlignment="1">
      <alignment horizontal="center" vertical="center" wrapText="1"/>
    </xf>
    <xf numFmtId="0" fontId="72" fillId="0" borderId="0" xfId="0" applyFont="1"/>
    <xf numFmtId="2" fontId="35" fillId="0" borderId="10" xfId="71" applyNumberFormat="1" applyFont="1" applyBorder="1" applyAlignment="1">
      <alignment wrapText="1"/>
    </xf>
    <xf numFmtId="0" fontId="35" fillId="0" borderId="10" xfId="71" applyFont="1" applyBorder="1" applyAlignment="1">
      <alignment horizontal="center"/>
    </xf>
    <xf numFmtId="181" fontId="7" fillId="0" borderId="0" xfId="71" applyNumberFormat="1"/>
    <xf numFmtId="164" fontId="34" fillId="0" borderId="0" xfId="0" applyNumberFormat="1" applyFont="1" applyAlignment="1">
      <alignment vertical="top"/>
    </xf>
    <xf numFmtId="164" fontId="46" fillId="0" borderId="0" xfId="76" applyFill="1">
      <alignment vertical="top"/>
    </xf>
    <xf numFmtId="164" fontId="76" fillId="0" borderId="0" xfId="76" applyFont="1" applyFill="1">
      <alignment vertical="top"/>
    </xf>
    <xf numFmtId="164" fontId="78" fillId="0" borderId="0" xfId="76" applyFont="1" applyFill="1" applyAlignment="1">
      <alignment horizontal="left" vertical="top"/>
    </xf>
    <xf numFmtId="174" fontId="76" fillId="0" borderId="0" xfId="76" applyNumberFormat="1" applyFont="1" applyFill="1" applyAlignment="1">
      <alignment horizontal="left" vertical="top"/>
    </xf>
    <xf numFmtId="176" fontId="76" fillId="0" borderId="0" xfId="77" applyNumberFormat="1" applyFont="1" applyFill="1" applyAlignment="1">
      <alignment horizontal="left" vertical="top"/>
    </xf>
    <xf numFmtId="164" fontId="79" fillId="0" borderId="0" xfId="78" applyNumberFormat="1" applyFont="1" applyFill="1" applyAlignment="1">
      <alignment vertical="top"/>
    </xf>
    <xf numFmtId="164" fontId="80" fillId="0" borderId="0" xfId="75" applyFont="1" applyAlignment="1"/>
    <xf numFmtId="164" fontId="78" fillId="0" borderId="0" xfId="76" applyFont="1" applyFill="1">
      <alignment vertical="top"/>
    </xf>
    <xf numFmtId="164" fontId="77" fillId="0" borderId="0" xfId="76" applyFont="1" applyFill="1" applyAlignment="1">
      <alignment horizontal="left" vertical="center"/>
    </xf>
    <xf numFmtId="164" fontId="78" fillId="0" borderId="0" xfId="76" applyFont="1" applyFill="1" applyAlignment="1">
      <alignment horizontal="left" vertical="center"/>
    </xf>
    <xf numFmtId="0" fontId="80" fillId="0" borderId="0" xfId="0" applyFont="1" applyAlignment="1">
      <alignment vertical="center"/>
    </xf>
    <xf numFmtId="0" fontId="76" fillId="0" borderId="0" xfId="76" applyNumberFormat="1" applyFont="1" applyFill="1" applyAlignment="1">
      <alignment vertical="center"/>
    </xf>
    <xf numFmtId="164" fontId="76" fillId="0" borderId="0" xfId="76" applyFont="1" applyFill="1" applyAlignment="1">
      <alignment vertical="center"/>
    </xf>
    <xf numFmtId="0" fontId="80" fillId="0" borderId="0" xfId="69" applyFont="1" applyAlignment="1">
      <alignment vertical="center"/>
    </xf>
    <xf numFmtId="0" fontId="76" fillId="0" borderId="0" xfId="69" applyFont="1" applyAlignment="1">
      <alignment vertical="center"/>
    </xf>
    <xf numFmtId="0" fontId="80" fillId="0" borderId="0" xfId="0" applyFont="1" applyAlignment="1">
      <alignment vertical="center" wrapText="1"/>
    </xf>
    <xf numFmtId="0" fontId="76" fillId="0" borderId="0" xfId="76" applyNumberFormat="1" applyFont="1" applyFill="1" applyAlignment="1">
      <alignment horizontal="left" vertical="center" wrapText="1"/>
    </xf>
    <xf numFmtId="164" fontId="76" fillId="0" borderId="0" xfId="76" applyFont="1" applyFill="1" applyAlignment="1">
      <alignment vertical="center" wrapText="1"/>
    </xf>
    <xf numFmtId="0" fontId="34" fillId="51" borderId="0" xfId="82" applyFont="1" applyFill="1" applyAlignment="1">
      <alignment vertical="center"/>
    </xf>
    <xf numFmtId="0" fontId="81" fillId="0" borderId="0" xfId="83" applyFont="1" applyAlignment="1">
      <alignment vertical="center"/>
    </xf>
    <xf numFmtId="0" fontId="82" fillId="0" borderId="0" xfId="83" applyFont="1" applyAlignment="1">
      <alignment vertical="center"/>
    </xf>
    <xf numFmtId="0" fontId="83" fillId="51" borderId="0" xfId="82" applyFont="1" applyFill="1" applyAlignment="1">
      <alignment vertical="center"/>
    </xf>
    <xf numFmtId="0" fontId="35" fillId="46" borderId="0" xfId="0" applyFont="1" applyFill="1"/>
    <xf numFmtId="0" fontId="74" fillId="0" borderId="10" xfId="0" applyFont="1" applyBorder="1"/>
    <xf numFmtId="173" fontId="35" fillId="50" borderId="0" xfId="0" applyNumberFormat="1" applyFont="1" applyFill="1"/>
    <xf numFmtId="173" fontId="35" fillId="0" borderId="0" xfId="0" applyNumberFormat="1" applyFont="1"/>
    <xf numFmtId="0" fontId="46" fillId="0" borderId="21" xfId="0" applyFont="1" applyBorder="1" applyAlignment="1">
      <alignment vertical="center" wrapText="1"/>
    </xf>
    <xf numFmtId="0" fontId="35" fillId="57" borderId="10" xfId="0" applyFont="1" applyFill="1" applyBorder="1"/>
    <xf numFmtId="2" fontId="35" fillId="0" borderId="32" xfId="0" applyNumberFormat="1" applyFont="1" applyBorder="1"/>
    <xf numFmtId="2" fontId="35" fillId="0" borderId="10" xfId="0" applyNumberFormat="1" applyFont="1" applyBorder="1" applyAlignment="1">
      <alignment horizontal="center"/>
    </xf>
    <xf numFmtId="0" fontId="38" fillId="55" borderId="15" xfId="0" applyFont="1" applyFill="1" applyBorder="1" applyAlignment="1">
      <alignment vertical="center" wrapText="1"/>
    </xf>
    <xf numFmtId="0" fontId="38" fillId="55" borderId="15" xfId="0" applyFont="1" applyFill="1" applyBorder="1" applyAlignment="1">
      <alignment horizontal="center" vertical="center" wrapText="1"/>
    </xf>
    <xf numFmtId="0" fontId="38" fillId="55" borderId="10" xfId="0" applyFont="1" applyFill="1" applyBorder="1" applyAlignment="1">
      <alignment horizontal="center" vertical="center" wrapText="1"/>
    </xf>
    <xf numFmtId="0" fontId="50" fillId="55" borderId="10" xfId="0" applyFont="1" applyFill="1" applyBorder="1"/>
    <xf numFmtId="0" fontId="38" fillId="55" borderId="12" xfId="0" applyFont="1" applyFill="1" applyBorder="1" applyAlignment="1">
      <alignment horizontal="center" vertical="center" wrapText="1"/>
    </xf>
    <xf numFmtId="0" fontId="35" fillId="48" borderId="0" xfId="0" applyFont="1" applyFill="1"/>
    <xf numFmtId="0" fontId="50" fillId="58" borderId="10" xfId="71" applyFont="1" applyFill="1" applyBorder="1" applyAlignment="1">
      <alignment vertical="center"/>
    </xf>
    <xf numFmtId="0" fontId="50" fillId="58" borderId="10" xfId="71" applyFont="1" applyFill="1" applyBorder="1" applyAlignment="1">
      <alignment horizontal="center" vertical="center"/>
    </xf>
    <xf numFmtId="0" fontId="50" fillId="58" borderId="17" xfId="71" applyFont="1" applyFill="1" applyBorder="1" applyAlignment="1">
      <alignment horizontal="center" vertical="center" wrapText="1"/>
    </xf>
    <xf numFmtId="0" fontId="50" fillId="58" borderId="10" xfId="71" applyFont="1" applyFill="1" applyBorder="1" applyAlignment="1">
      <alignment horizontal="center" vertical="center" wrapText="1"/>
    </xf>
    <xf numFmtId="2" fontId="35" fillId="0" borderId="10" xfId="0" applyNumberFormat="1" applyFont="1" applyBorder="1" applyAlignment="1">
      <alignment vertical="center"/>
    </xf>
    <xf numFmtId="9" fontId="35" fillId="0" borderId="10" xfId="0" applyNumberFormat="1" applyFont="1" applyBorder="1" applyAlignment="1">
      <alignment horizontal="center" vertical="center"/>
    </xf>
    <xf numFmtId="2" fontId="35" fillId="0" borderId="17" xfId="0" applyNumberFormat="1" applyFont="1" applyBorder="1" applyAlignment="1">
      <alignment horizontal="right" vertical="center"/>
    </xf>
    <xf numFmtId="0" fontId="35" fillId="0" borderId="10" xfId="0" applyFont="1" applyBorder="1" applyAlignment="1">
      <alignment horizontal="center" vertical="center"/>
    </xf>
    <xf numFmtId="9" fontId="35" fillId="57" borderId="10" xfId="0" applyNumberFormat="1" applyFont="1" applyFill="1" applyBorder="1" applyAlignment="1">
      <alignment horizontal="center" vertical="center"/>
    </xf>
    <xf numFmtId="2" fontId="50" fillId="57" borderId="10" xfId="0" applyNumberFormat="1" applyFont="1" applyFill="1" applyBorder="1" applyAlignment="1">
      <alignment horizontal="right" vertical="center"/>
    </xf>
    <xf numFmtId="0" fontId="53" fillId="0" borderId="0" xfId="71" applyFont="1" applyAlignment="1">
      <alignment vertical="center"/>
    </xf>
    <xf numFmtId="0" fontId="50" fillId="0" borderId="10" xfId="71" applyFont="1" applyBorder="1" applyAlignment="1">
      <alignment vertical="center"/>
    </xf>
    <xf numFmtId="0" fontId="41" fillId="0" borderId="10" xfId="71" applyFont="1" applyBorder="1" applyAlignment="1">
      <alignment vertical="center" wrapText="1"/>
    </xf>
    <xf numFmtId="43" fontId="50" fillId="0" borderId="10" xfId="1" applyFont="1" applyFill="1" applyBorder="1" applyAlignment="1">
      <alignment vertical="center"/>
    </xf>
    <xf numFmtId="43" fontId="50" fillId="0" borderId="10" xfId="1" applyFont="1" applyFill="1" applyBorder="1" applyAlignment="1">
      <alignment horizontal="right" vertical="center"/>
    </xf>
    <xf numFmtId="43" fontId="50" fillId="0" borderId="10" xfId="1" applyFont="1" applyFill="1" applyBorder="1" applyAlignment="1">
      <alignment horizontal="center" vertical="center"/>
    </xf>
    <xf numFmtId="0" fontId="46" fillId="0" borderId="10" xfId="71" applyFont="1" applyBorder="1" applyAlignment="1">
      <alignment horizontal="center" vertical="center" wrapText="1"/>
    </xf>
    <xf numFmtId="10" fontId="35" fillId="0" borderId="13" xfId="2" applyFont="1" applyFill="1" applyBorder="1" applyAlignment="1">
      <alignment vertical="center"/>
    </xf>
    <xf numFmtId="2" fontId="68" fillId="0" borderId="10" xfId="71" applyNumberFormat="1" applyFont="1" applyBorder="1" applyAlignment="1">
      <alignment vertical="center"/>
    </xf>
    <xf numFmtId="2" fontId="35" fillId="0" borderId="10" xfId="71" applyNumberFormat="1" applyFont="1" applyBorder="1" applyAlignment="1">
      <alignment horizontal="center" vertical="center"/>
    </xf>
    <xf numFmtId="10" fontId="35" fillId="0" borderId="10" xfId="2" applyFont="1" applyFill="1" applyBorder="1" applyAlignment="1">
      <alignment vertical="center"/>
    </xf>
    <xf numFmtId="2" fontId="35" fillId="0" borderId="13" xfId="71" applyNumberFormat="1" applyFont="1" applyBorder="1" applyAlignment="1">
      <alignment vertical="center"/>
    </xf>
    <xf numFmtId="2" fontId="68" fillId="0" borderId="13" xfId="0" applyNumberFormat="1" applyFont="1" applyBorder="1" applyAlignment="1">
      <alignment vertical="center"/>
    </xf>
    <xf numFmtId="2" fontId="35" fillId="0" borderId="13" xfId="0" applyNumberFormat="1" applyFont="1" applyBorder="1" applyAlignment="1">
      <alignment vertical="center"/>
    </xf>
    <xf numFmtId="10" fontId="68" fillId="0" borderId="10" xfId="2" applyFont="1" applyBorder="1" applyAlignment="1">
      <alignment vertical="center"/>
    </xf>
    <xf numFmtId="0" fontId="35" fillId="0" borderId="0" xfId="71" applyFont="1" applyAlignment="1">
      <alignment vertical="center"/>
    </xf>
    <xf numFmtId="0" fontId="69" fillId="0" borderId="0" xfId="0" applyFont="1" applyAlignment="1">
      <alignment horizontal="center" vertical="center"/>
    </xf>
    <xf numFmtId="0" fontId="46" fillId="0" borderId="0" xfId="71" applyFont="1" applyAlignment="1">
      <alignment vertical="center" wrapText="1"/>
    </xf>
    <xf numFmtId="0" fontId="1" fillId="0" borderId="0" xfId="71" applyFont="1" applyAlignment="1">
      <alignment vertical="center"/>
    </xf>
    <xf numFmtId="0" fontId="35" fillId="0" borderId="23" xfId="0" applyFont="1" applyBorder="1" applyAlignment="1">
      <alignment vertical="center"/>
    </xf>
    <xf numFmtId="0" fontId="35" fillId="0" borderId="23" xfId="0" applyFont="1" applyBorder="1" applyAlignment="1">
      <alignment horizontal="center" vertical="center"/>
    </xf>
    <xf numFmtId="9" fontId="35" fillId="0" borderId="23" xfId="2" applyNumberFormat="1" applyFont="1" applyBorder="1" applyAlignment="1">
      <alignment horizontal="center" vertical="center"/>
    </xf>
    <xf numFmtId="9" fontId="35" fillId="0" borderId="23" xfId="0" applyNumberFormat="1" applyFont="1" applyBorder="1" applyAlignment="1">
      <alignment horizontal="center" vertical="center"/>
    </xf>
    <xf numFmtId="10" fontId="1" fillId="0" borderId="0" xfId="2" applyFont="1" applyAlignment="1">
      <alignment vertical="center"/>
    </xf>
    <xf numFmtId="0" fontId="35" fillId="57" borderId="11" xfId="0" applyFont="1" applyFill="1" applyBorder="1" applyAlignment="1">
      <alignment vertical="center"/>
    </xf>
    <xf numFmtId="0" fontId="35" fillId="0" borderId="11" xfId="0" applyFont="1" applyBorder="1" applyAlignment="1">
      <alignment horizontal="center" vertical="center"/>
    </xf>
    <xf numFmtId="9" fontId="35" fillId="0" borderId="11" xfId="0" applyNumberFormat="1" applyFont="1" applyBorder="1" applyAlignment="1">
      <alignment horizontal="center" vertical="center"/>
    </xf>
    <xf numFmtId="0" fontId="35" fillId="0" borderId="11" xfId="0" applyFont="1" applyBorder="1" applyAlignment="1">
      <alignment vertical="center"/>
    </xf>
    <xf numFmtId="0" fontId="35" fillId="0" borderId="0" xfId="0" applyFont="1" applyAlignment="1">
      <alignment vertical="center"/>
    </xf>
    <xf numFmtId="44" fontId="7" fillId="0" borderId="0" xfId="71" applyNumberFormat="1" applyAlignment="1">
      <alignment vertical="center"/>
    </xf>
    <xf numFmtId="0" fontId="7" fillId="0" borderId="0" xfId="71" applyAlignment="1">
      <alignment vertical="center" wrapText="1"/>
    </xf>
    <xf numFmtId="2" fontId="7" fillId="0" borderId="0" xfId="71" applyNumberFormat="1" applyAlignment="1">
      <alignment vertical="center"/>
    </xf>
    <xf numFmtId="0" fontId="35" fillId="0" borderId="0" xfId="71" applyFont="1" applyAlignment="1">
      <alignment horizontal="left" vertical="center"/>
    </xf>
    <xf numFmtId="2" fontId="1" fillId="0" borderId="0" xfId="71" applyNumberFormat="1" applyFont="1" applyAlignment="1">
      <alignment vertical="center"/>
    </xf>
    <xf numFmtId="0" fontId="39" fillId="0" borderId="17" xfId="0" applyFont="1" applyBorder="1" applyAlignment="1">
      <alignment vertical="center"/>
    </xf>
    <xf numFmtId="2" fontId="0" fillId="0" borderId="0" xfId="0" applyNumberFormat="1" applyAlignment="1">
      <alignment vertical="center"/>
    </xf>
    <xf numFmtId="0" fontId="39" fillId="0" borderId="16" xfId="0" applyFont="1" applyBorder="1" applyAlignment="1">
      <alignment vertical="center"/>
    </xf>
    <xf numFmtId="0" fontId="74" fillId="0" borderId="10" xfId="0" applyFont="1" applyBorder="1" applyAlignment="1">
      <alignment vertical="center" wrapText="1"/>
    </xf>
    <xf numFmtId="0" fontId="24" fillId="0" borderId="0" xfId="0" applyFont="1" applyAlignment="1">
      <alignment vertical="center"/>
    </xf>
    <xf numFmtId="0" fontId="39" fillId="0" borderId="16" xfId="0" applyFont="1" applyBorder="1" applyAlignment="1">
      <alignment vertical="center" wrapText="1"/>
    </xf>
    <xf numFmtId="2" fontId="0" fillId="0" borderId="0" xfId="0" applyNumberFormat="1" applyAlignment="1">
      <alignment vertical="center" wrapText="1"/>
    </xf>
    <xf numFmtId="0" fontId="39" fillId="0" borderId="0" xfId="0" applyFont="1" applyAlignment="1">
      <alignment vertical="center"/>
    </xf>
    <xf numFmtId="0" fontId="41" fillId="0" borderId="10" xfId="0" applyFont="1" applyBorder="1" applyAlignment="1">
      <alignment vertical="center" wrapText="1"/>
    </xf>
    <xf numFmtId="0" fontId="0" fillId="0" borderId="0" xfId="0" applyAlignment="1">
      <alignment horizontal="center" vertical="center"/>
    </xf>
    <xf numFmtId="4" fontId="0" fillId="0" borderId="0" xfId="0" applyNumberFormat="1" applyAlignment="1">
      <alignment vertical="center"/>
    </xf>
    <xf numFmtId="0" fontId="38" fillId="47" borderId="12" xfId="0" applyFont="1" applyFill="1" applyBorder="1" applyAlignment="1">
      <alignment vertical="center" wrapText="1"/>
    </xf>
    <xf numFmtId="0" fontId="39" fillId="0" borderId="12" xfId="0" applyFont="1" applyBorder="1" applyAlignment="1">
      <alignment vertical="center"/>
    </xf>
    <xf numFmtId="2" fontId="39" fillId="0" borderId="13" xfId="0" applyNumberFormat="1" applyFont="1" applyBorder="1" applyAlignment="1">
      <alignment horizontal="right" vertical="center"/>
    </xf>
    <xf numFmtId="2" fontId="39" fillId="0" borderId="14" xfId="0" applyNumberFormat="1" applyFont="1" applyBorder="1" applyAlignment="1">
      <alignment vertical="center"/>
    </xf>
    <xf numFmtId="2" fontId="39" fillId="0" borderId="14" xfId="0" applyNumberFormat="1" applyFont="1" applyBorder="1" applyAlignment="1">
      <alignment horizontal="right" vertical="center"/>
    </xf>
    <xf numFmtId="0" fontId="39" fillId="0" borderId="13" xfId="0" applyFont="1" applyBorder="1" applyAlignment="1">
      <alignment vertical="center"/>
    </xf>
    <xf numFmtId="0" fontId="39" fillId="0" borderId="14" xfId="0" applyFont="1" applyBorder="1" applyAlignment="1">
      <alignment vertical="center"/>
    </xf>
    <xf numFmtId="0" fontId="38" fillId="0" borderId="13" xfId="0" applyFont="1" applyBorder="1" applyAlignment="1">
      <alignment vertical="center"/>
    </xf>
    <xf numFmtId="2" fontId="41" fillId="0" borderId="13" xfId="0" applyNumberFormat="1" applyFont="1" applyBorder="1" applyAlignment="1">
      <alignment vertical="center"/>
    </xf>
    <xf numFmtId="0" fontId="41" fillId="0" borderId="10" xfId="0" applyFont="1" applyBorder="1" applyAlignment="1">
      <alignment vertical="center"/>
    </xf>
    <xf numFmtId="2" fontId="41" fillId="0" borderId="14" xfId="0" applyNumberFormat="1" applyFont="1" applyBorder="1" applyAlignment="1">
      <alignment vertical="center"/>
    </xf>
    <xf numFmtId="2" fontId="38" fillId="0" borderId="14" xfId="0" applyNumberFormat="1" applyFont="1" applyBorder="1" applyAlignment="1">
      <alignment vertical="center"/>
    </xf>
    <xf numFmtId="0" fontId="38" fillId="47" borderId="19" xfId="0" applyFont="1" applyFill="1" applyBorder="1" applyAlignment="1">
      <alignment vertical="center" wrapText="1"/>
    </xf>
    <xf numFmtId="0" fontId="35" fillId="0" borderId="0" xfId="0" applyFont="1" applyAlignment="1">
      <alignment horizontal="center" vertical="center"/>
    </xf>
    <xf numFmtId="0" fontId="35" fillId="57" borderId="10" xfId="0" applyFont="1" applyFill="1" applyBorder="1" applyAlignment="1">
      <alignment vertical="center"/>
    </xf>
    <xf numFmtId="0" fontId="35" fillId="57" borderId="10" xfId="0" applyFont="1" applyFill="1" applyBorder="1" applyAlignment="1">
      <alignment horizontal="center" vertical="center"/>
    </xf>
    <xf numFmtId="9" fontId="50" fillId="0" borderId="10" xfId="0" applyNumberFormat="1" applyFont="1" applyBorder="1" applyAlignment="1">
      <alignment horizontal="center" vertical="center"/>
    </xf>
    <xf numFmtId="43" fontId="35" fillId="0" borderId="10" xfId="1" applyFont="1" applyBorder="1" applyAlignment="1">
      <alignment horizontal="right" vertical="center"/>
    </xf>
    <xf numFmtId="4" fontId="39" fillId="0" borderId="20" xfId="0" applyNumberFormat="1" applyFont="1" applyBorder="1" applyAlignment="1">
      <alignment vertical="center"/>
    </xf>
    <xf numFmtId="2" fontId="35" fillId="0" borderId="11" xfId="0" applyNumberFormat="1" applyFont="1" applyBorder="1" applyAlignment="1">
      <alignment vertical="center"/>
    </xf>
    <xf numFmtId="2" fontId="46" fillId="0" borderId="21" xfId="0" applyNumberFormat="1" applyFont="1" applyBorder="1" applyAlignment="1">
      <alignment vertical="center"/>
    </xf>
    <xf numFmtId="4" fontId="39" fillId="0" borderId="12" xfId="0" applyNumberFormat="1" applyFont="1" applyBorder="1" applyAlignment="1">
      <alignment vertical="center"/>
    </xf>
    <xf numFmtId="0" fontId="46" fillId="0" borderId="14" xfId="0" applyFont="1" applyBorder="1" applyAlignment="1">
      <alignment horizontal="center" vertical="center"/>
    </xf>
    <xf numFmtId="9" fontId="39" fillId="0" borderId="14" xfId="0" applyNumberFormat="1" applyFont="1" applyBorder="1" applyAlignment="1">
      <alignment horizontal="right" vertical="center"/>
    </xf>
    <xf numFmtId="2" fontId="39" fillId="0" borderId="22" xfId="0" applyNumberFormat="1" applyFont="1" applyBorder="1" applyAlignment="1">
      <alignment vertical="center"/>
    </xf>
    <xf numFmtId="2" fontId="39" fillId="0" borderId="24" xfId="0" applyNumberFormat="1" applyFont="1" applyBorder="1" applyAlignment="1">
      <alignment vertical="center"/>
    </xf>
    <xf numFmtId="2" fontId="39" fillId="0" borderId="10" xfId="0" applyNumberFormat="1" applyFont="1" applyBorder="1" applyAlignment="1">
      <alignment vertical="center"/>
    </xf>
    <xf numFmtId="0" fontId="46" fillId="0" borderId="10" xfId="0" applyFont="1" applyBorder="1" applyAlignment="1">
      <alignment horizontal="center" vertical="center"/>
    </xf>
    <xf numFmtId="9" fontId="39" fillId="0" borderId="10" xfId="0" applyNumberFormat="1" applyFont="1" applyBorder="1" applyAlignment="1">
      <alignment horizontal="right" vertical="center"/>
    </xf>
    <xf numFmtId="0" fontId="46" fillId="0" borderId="0" xfId="71" applyFont="1" applyAlignment="1">
      <alignment horizontal="center" vertical="center" wrapText="1"/>
    </xf>
    <xf numFmtId="43" fontId="0" fillId="0" borderId="0" xfId="1" applyFont="1" applyAlignment="1">
      <alignment vertical="center"/>
    </xf>
    <xf numFmtId="178" fontId="0" fillId="0" borderId="0" xfId="0" applyNumberFormat="1" applyAlignment="1">
      <alignment vertical="center"/>
    </xf>
    <xf numFmtId="0" fontId="35" fillId="59" borderId="10" xfId="71" applyFont="1" applyFill="1" applyBorder="1" applyAlignment="1">
      <alignment vertical="center"/>
    </xf>
    <xf numFmtId="0" fontId="46" fillId="0" borderId="10" xfId="71" applyFont="1" applyBorder="1" applyAlignment="1">
      <alignment vertical="center"/>
    </xf>
    <xf numFmtId="9" fontId="46" fillId="0" borderId="10" xfId="72" applyFont="1" applyBorder="1" applyAlignment="1">
      <alignment horizontal="center" vertical="center"/>
    </xf>
    <xf numFmtId="9" fontId="35" fillId="0" borderId="10" xfId="72" applyFont="1" applyBorder="1" applyAlignment="1">
      <alignment horizontal="center" vertical="center"/>
    </xf>
    <xf numFmtId="9" fontId="35" fillId="0" borderId="10" xfId="72" applyFont="1" applyFill="1" applyBorder="1" applyAlignment="1">
      <alignment horizontal="center" vertical="center"/>
    </xf>
    <xf numFmtId="9" fontId="46" fillId="0" borderId="10" xfId="72" applyFont="1" applyFill="1" applyBorder="1" applyAlignment="1">
      <alignment vertical="center"/>
    </xf>
    <xf numFmtId="177" fontId="0" fillId="0" borderId="0" xfId="0" applyNumberFormat="1" applyAlignment="1">
      <alignment vertical="center"/>
    </xf>
    <xf numFmtId="44" fontId="0" fillId="0" borderId="0" xfId="0" applyNumberFormat="1" applyAlignment="1">
      <alignment vertical="center"/>
    </xf>
    <xf numFmtId="0" fontId="0" fillId="46" borderId="0" xfId="0" applyFill="1" applyAlignment="1">
      <alignment vertical="center"/>
    </xf>
    <xf numFmtId="2" fontId="0" fillId="46" borderId="0" xfId="0" applyNumberFormat="1" applyFill="1" applyAlignment="1">
      <alignment vertical="center"/>
    </xf>
    <xf numFmtId="177" fontId="0" fillId="46" borderId="0" xfId="0" applyNumberFormat="1" applyFill="1" applyAlignment="1">
      <alignment vertical="center"/>
    </xf>
    <xf numFmtId="44" fontId="0" fillId="46" borderId="0" xfId="0" applyNumberFormat="1" applyFill="1" applyAlignment="1">
      <alignment vertical="center"/>
    </xf>
    <xf numFmtId="164" fontId="76" fillId="0" borderId="0" xfId="76" applyFont="1" applyAlignment="1">
      <alignment horizontal="left" vertical="top"/>
    </xf>
    <xf numFmtId="0" fontId="50" fillId="0" borderId="10" xfId="0" applyFont="1" applyBorder="1" applyAlignment="1">
      <alignment horizontal="center"/>
    </xf>
    <xf numFmtId="9" fontId="35" fillId="57" borderId="17" xfId="0" applyNumberFormat="1" applyFont="1" applyFill="1" applyBorder="1" applyAlignment="1">
      <alignment horizontal="center" vertical="center"/>
    </xf>
    <xf numFmtId="9" fontId="68" fillId="57" borderId="12" xfId="0" applyNumberFormat="1" applyFont="1" applyFill="1" applyBorder="1" applyAlignment="1">
      <alignment horizontal="center" vertical="center"/>
    </xf>
    <xf numFmtId="0" fontId="35" fillId="0" borderId="17" xfId="0" applyFont="1" applyBorder="1" applyAlignment="1">
      <alignment horizontal="center" vertical="center"/>
    </xf>
    <xf numFmtId="0" fontId="35" fillId="0" borderId="12" xfId="0" applyFont="1" applyBorder="1" applyAlignment="1">
      <alignment horizontal="center" vertical="center"/>
    </xf>
    <xf numFmtId="0" fontId="35" fillId="0" borderId="17" xfId="71" applyFont="1" applyBorder="1" applyAlignment="1">
      <alignment horizontal="center" vertical="center"/>
    </xf>
    <xf numFmtId="0" fontId="35" fillId="0" borderId="12" xfId="71" applyFont="1" applyBorder="1" applyAlignment="1">
      <alignment horizontal="center" vertical="center"/>
    </xf>
    <xf numFmtId="0" fontId="35" fillId="0" borderId="10" xfId="71" applyFont="1" applyBorder="1" applyAlignment="1">
      <alignment horizontal="center" vertical="center"/>
    </xf>
    <xf numFmtId="0" fontId="75" fillId="58" borderId="17" xfId="71" applyFont="1" applyFill="1" applyBorder="1" applyAlignment="1">
      <alignment horizontal="center" vertical="center"/>
    </xf>
    <xf numFmtId="0" fontId="75" fillId="58" borderId="12" xfId="71" applyFont="1" applyFill="1" applyBorder="1" applyAlignment="1">
      <alignment horizontal="center" vertical="center"/>
    </xf>
    <xf numFmtId="0" fontId="68" fillId="0" borderId="17" xfId="0" applyFont="1" applyBorder="1" applyAlignment="1">
      <alignment vertical="center"/>
    </xf>
    <xf numFmtId="0" fontId="68" fillId="0" borderId="12" xfId="0" applyFont="1" applyBorder="1" applyAlignment="1">
      <alignment vertical="center"/>
    </xf>
    <xf numFmtId="9" fontId="68" fillId="0" borderId="17" xfId="0" applyNumberFormat="1" applyFont="1" applyBorder="1" applyAlignment="1">
      <alignment vertical="center"/>
    </xf>
    <xf numFmtId="9" fontId="68" fillId="0" borderId="12" xfId="0" applyNumberFormat="1" applyFont="1" applyBorder="1" applyAlignment="1">
      <alignment vertical="center"/>
    </xf>
    <xf numFmtId="2" fontId="35" fillId="0" borderId="15" xfId="71" applyNumberFormat="1" applyFont="1" applyBorder="1" applyAlignment="1">
      <alignment horizontal="right" vertical="center" wrapText="1"/>
    </xf>
    <xf numFmtId="2" fontId="35" fillId="0" borderId="18" xfId="71" applyNumberFormat="1" applyFont="1" applyBorder="1" applyAlignment="1">
      <alignment horizontal="right" vertical="center" wrapText="1"/>
    </xf>
    <xf numFmtId="2" fontId="35" fillId="0" borderId="13" xfId="71" applyNumberFormat="1" applyFont="1" applyBorder="1" applyAlignment="1">
      <alignment horizontal="right" vertical="center" wrapText="1"/>
    </xf>
    <xf numFmtId="2" fontId="65" fillId="0" borderId="25" xfId="71" applyNumberFormat="1" applyFont="1" applyBorder="1" applyAlignment="1">
      <alignment horizontal="right" vertical="center"/>
    </xf>
    <xf numFmtId="2" fontId="65" fillId="0" borderId="29" xfId="71" applyNumberFormat="1" applyFont="1" applyBorder="1" applyAlignment="1">
      <alignment horizontal="right" vertical="center"/>
    </xf>
    <xf numFmtId="2" fontId="65" fillId="0" borderId="23" xfId="71" applyNumberFormat="1" applyFont="1" applyBorder="1" applyAlignment="1">
      <alignment horizontal="right" vertical="center"/>
    </xf>
    <xf numFmtId="0" fontId="50" fillId="0" borderId="10" xfId="0" applyFont="1" applyBorder="1" applyAlignment="1">
      <alignment horizontal="center" vertical="center"/>
    </xf>
    <xf numFmtId="0" fontId="39" fillId="0" borderId="10" xfId="0" applyFont="1" applyBorder="1" applyAlignment="1">
      <alignment vertical="center"/>
    </xf>
    <xf numFmtId="0" fontId="39" fillId="0" borderId="17" xfId="0" applyFont="1" applyBorder="1" applyAlignment="1">
      <alignment horizontal="left" vertical="center"/>
    </xf>
    <xf numFmtId="0" fontId="39" fillId="0" borderId="20" xfId="0" applyFont="1" applyBorder="1" applyAlignment="1">
      <alignment horizontal="left" vertical="center"/>
    </xf>
    <xf numFmtId="0" fontId="39" fillId="0" borderId="12" xfId="0" applyFont="1" applyBorder="1" applyAlignment="1">
      <alignment horizontal="left" vertical="center"/>
    </xf>
    <xf numFmtId="0" fontId="35" fillId="0" borderId="20" xfId="0" applyFont="1" applyBorder="1" applyAlignment="1">
      <alignment horizontal="center" vertical="center"/>
    </xf>
    <xf numFmtId="0" fontId="35" fillId="0" borderId="10" xfId="0" applyFont="1" applyBorder="1" applyAlignment="1">
      <alignment horizontal="center" vertical="center"/>
    </xf>
    <xf numFmtId="0" fontId="38" fillId="47" borderId="10" xfId="0" applyFont="1" applyFill="1" applyBorder="1" applyAlignment="1">
      <alignment vertical="center" wrapText="1"/>
    </xf>
    <xf numFmtId="2" fontId="46" fillId="0" borderId="15" xfId="71" applyNumberFormat="1" applyFont="1" applyBorder="1" applyAlignment="1">
      <alignment vertical="center" wrapText="1"/>
    </xf>
    <xf numFmtId="2" fontId="35" fillId="0" borderId="15" xfId="71" applyNumberFormat="1" applyFont="1" applyBorder="1" applyAlignment="1">
      <alignment vertical="center" wrapText="1"/>
    </xf>
    <xf numFmtId="2" fontId="35" fillId="0" borderId="15" xfId="71" applyNumberFormat="1" applyFont="1" applyBorder="1" applyAlignment="1">
      <alignment horizontal="right" vertical="center"/>
    </xf>
    <xf numFmtId="2" fontId="35" fillId="0" borderId="13" xfId="71" applyNumberFormat="1" applyFont="1" applyBorder="1" applyAlignment="1">
      <alignment horizontal="right" vertical="center"/>
    </xf>
    <xf numFmtId="0" fontId="35" fillId="57" borderId="10" xfId="0" applyFont="1" applyFill="1" applyBorder="1" applyAlignment="1">
      <alignment horizontal="center" vertical="center"/>
    </xf>
    <xf numFmtId="0" fontId="38" fillId="47" borderId="17" xfId="0" applyFont="1" applyFill="1" applyBorder="1" applyAlignment="1">
      <alignment horizontal="center" vertical="center" wrapText="1"/>
    </xf>
    <xf numFmtId="0" fontId="38" fillId="47" borderId="12" xfId="0" applyFont="1" applyFill="1" applyBorder="1" applyAlignment="1">
      <alignment horizontal="center" vertical="center" wrapText="1"/>
    </xf>
    <xf numFmtId="0" fontId="38" fillId="47" borderId="20" xfId="0" applyFont="1" applyFill="1" applyBorder="1" applyAlignment="1">
      <alignment horizontal="center" vertical="center" wrapText="1"/>
    </xf>
    <xf numFmtId="2" fontId="46" fillId="0" borderId="15" xfId="71" applyNumberFormat="1" applyFont="1" applyBorder="1" applyAlignment="1">
      <alignment horizontal="right" vertical="center" wrapText="1"/>
    </xf>
    <xf numFmtId="2" fontId="46" fillId="0" borderId="18" xfId="71" applyNumberFormat="1" applyFont="1" applyBorder="1" applyAlignment="1">
      <alignment horizontal="right" vertical="center" wrapText="1"/>
    </xf>
    <xf numFmtId="2" fontId="46" fillId="0" borderId="13" xfId="71" applyNumberFormat="1" applyFont="1" applyBorder="1" applyAlignment="1">
      <alignment horizontal="right" vertical="center" wrapText="1"/>
    </xf>
    <xf numFmtId="2" fontId="46" fillId="0" borderId="15" xfId="71" applyNumberFormat="1" applyFont="1" applyBorder="1" applyAlignment="1">
      <alignment horizontal="right" vertical="center"/>
    </xf>
    <xf numFmtId="2" fontId="46" fillId="0" borderId="18" xfId="71" applyNumberFormat="1" applyFont="1" applyBorder="1" applyAlignment="1">
      <alignment horizontal="right" vertical="center"/>
    </xf>
    <xf numFmtId="2" fontId="46" fillId="0" borderId="13" xfId="71" applyNumberFormat="1" applyFont="1" applyBorder="1" applyAlignment="1">
      <alignment horizontal="right" vertical="center"/>
    </xf>
    <xf numFmtId="2" fontId="35" fillId="0" borderId="18" xfId="71" applyNumberFormat="1" applyFont="1" applyBorder="1" applyAlignment="1">
      <alignment horizontal="right" vertical="center"/>
    </xf>
    <xf numFmtId="0" fontId="35" fillId="0" borderId="10" xfId="71" applyFont="1" applyBorder="1" applyAlignment="1">
      <alignment horizontal="right" vertical="center"/>
    </xf>
    <xf numFmtId="2" fontId="67" fillId="0" borderId="15" xfId="71" applyNumberFormat="1" applyFont="1" applyBorder="1" applyAlignment="1">
      <alignment horizontal="right" vertical="center"/>
    </xf>
    <xf numFmtId="2" fontId="67" fillId="0" borderId="13" xfId="71" applyNumberFormat="1" applyFont="1" applyBorder="1" applyAlignment="1">
      <alignment horizontal="right" vertical="center"/>
    </xf>
    <xf numFmtId="0" fontId="77" fillId="46" borderId="0" xfId="0" applyFont="1" applyFill="1" applyAlignment="1">
      <alignment horizontal="left"/>
    </xf>
    <xf numFmtId="0" fontId="35" fillId="0" borderId="19" xfId="0" applyFont="1" applyBorder="1" applyAlignment="1">
      <alignment horizontal="center" vertical="center" wrapText="1"/>
    </xf>
    <xf numFmtId="0" fontId="35" fillId="0" borderId="30" xfId="0" applyFont="1" applyBorder="1" applyAlignment="1">
      <alignment horizontal="center" vertical="center" wrapText="1"/>
    </xf>
    <xf numFmtId="0" fontId="35" fillId="0" borderId="31" xfId="0" applyFont="1" applyBorder="1" applyAlignment="1">
      <alignment horizontal="center" vertical="center" wrapText="1"/>
    </xf>
    <xf numFmtId="0" fontId="35" fillId="0" borderId="32" xfId="0" applyFont="1" applyBorder="1" applyAlignment="1">
      <alignment horizontal="center" vertical="center" wrapText="1"/>
    </xf>
    <xf numFmtId="0" fontId="35" fillId="0" borderId="0" xfId="0" applyFont="1" applyAlignment="1">
      <alignment horizontal="center" vertical="center" wrapText="1"/>
    </xf>
    <xf numFmtId="0" fontId="35" fillId="0" borderId="28" xfId="0" applyFont="1" applyBorder="1" applyAlignment="1">
      <alignment horizontal="center" vertical="center" wrapText="1"/>
    </xf>
    <xf numFmtId="0" fontId="35" fillId="0" borderId="16" xfId="0" applyFont="1" applyBorder="1" applyAlignment="1">
      <alignment horizontal="center" vertical="center" wrapText="1"/>
    </xf>
    <xf numFmtId="0" fontId="35" fillId="0" borderId="22" xfId="0" applyFont="1" applyBorder="1" applyAlignment="1">
      <alignment horizontal="center" vertical="center" wrapText="1"/>
    </xf>
    <xf numFmtId="0" fontId="35" fillId="0" borderId="14" xfId="0" applyFont="1" applyBorder="1" applyAlignment="1">
      <alignment horizontal="center" vertical="center" wrapText="1"/>
    </xf>
    <xf numFmtId="0" fontId="42" fillId="46" borderId="0" xfId="0" applyFont="1" applyFill="1" applyAlignment="1">
      <alignment horizontal="left"/>
    </xf>
    <xf numFmtId="0" fontId="38" fillId="47" borderId="17" xfId="0" applyFont="1" applyFill="1" applyBorder="1" applyAlignment="1">
      <alignment horizontal="center"/>
    </xf>
    <xf numFmtId="0" fontId="38" fillId="47" borderId="20" xfId="0" applyFont="1" applyFill="1" applyBorder="1" applyAlignment="1">
      <alignment horizontal="center"/>
    </xf>
    <xf numFmtId="0" fontId="38" fillId="47" borderId="12" xfId="0" applyFont="1" applyFill="1" applyBorder="1" applyAlignment="1">
      <alignment horizontal="center"/>
    </xf>
    <xf numFmtId="0" fontId="35" fillId="0" borderId="17" xfId="0" applyFont="1" applyBorder="1" applyAlignment="1">
      <alignment horizontal="center"/>
    </xf>
    <xf numFmtId="0" fontId="35" fillId="0" borderId="20" xfId="0" applyFont="1" applyBorder="1" applyAlignment="1">
      <alignment horizontal="center"/>
    </xf>
    <xf numFmtId="0" fontId="35" fillId="0" borderId="12" xfId="0" applyFont="1" applyBorder="1" applyAlignment="1">
      <alignment horizontal="center"/>
    </xf>
    <xf numFmtId="0" fontId="35" fillId="0" borderId="17" xfId="0" applyFont="1" applyBorder="1" applyAlignment="1"/>
    <xf numFmtId="0" fontId="35" fillId="0" borderId="20" xfId="0" applyFont="1" applyBorder="1" applyAlignment="1"/>
    <xf numFmtId="0" fontId="35" fillId="0" borderId="12" xfId="0" applyFont="1" applyBorder="1" applyAlignment="1"/>
  </cellXfs>
  <cellStyles count="87">
    <cellStyle name="20% - Accent1" xfId="21" builtinId="30" hidden="1"/>
    <cellStyle name="20% - Accent2" xfId="25" builtinId="34" hidden="1"/>
    <cellStyle name="20% - Accent3" xfId="29" builtinId="38" hidden="1"/>
    <cellStyle name="20% - Accent4" xfId="33" builtinId="42" hidden="1"/>
    <cellStyle name="20% - Accent5" xfId="37" builtinId="46" hidden="1"/>
    <cellStyle name="20% - Accent6" xfId="41" builtinId="50" hidden="1"/>
    <cellStyle name="40% - Accent1" xfId="22" builtinId="31" hidden="1"/>
    <cellStyle name="40% - Accent2" xfId="26" builtinId="35" hidden="1"/>
    <cellStyle name="40% - Accent3" xfId="30" builtinId="39" hidden="1"/>
    <cellStyle name="40% - Accent4" xfId="34" builtinId="43" hidden="1"/>
    <cellStyle name="40% - Accent5" xfId="38" builtinId="47" hidden="1"/>
    <cellStyle name="40% - Accent6" xfId="42" builtinId="51" hidden="1"/>
    <cellStyle name="60% - Accent1" xfId="23" builtinId="32" hidden="1"/>
    <cellStyle name="60% - Accent2" xfId="27" builtinId="36" hidden="1"/>
    <cellStyle name="60% - Accent3" xfId="31" builtinId="40" hidden="1"/>
    <cellStyle name="60% - Accent4" xfId="35" builtinId="44" hidden="1"/>
    <cellStyle name="60% - Accent5" xfId="39" builtinId="48" hidden="1"/>
    <cellStyle name="60% - Accent6" xfId="43" builtinId="52" hidden="1"/>
    <cellStyle name="Accent1" xfId="20" builtinId="29" hidden="1"/>
    <cellStyle name="Accent2" xfId="24" builtinId="33" hidden="1"/>
    <cellStyle name="Accent3" xfId="28" builtinId="37" hidden="1"/>
    <cellStyle name="Accent4" xfId="32" builtinId="41" hidden="1"/>
    <cellStyle name="Accent5" xfId="36" builtinId="45" hidden="1"/>
    <cellStyle name="Accent6" xfId="40" builtinId="49" hidden="1"/>
    <cellStyle name="Bad" xfId="9" builtinId="27" hidden="1"/>
    <cellStyle name="Calculation" xfId="13" builtinId="22" hidden="1"/>
    <cellStyle name="Check Cell" xfId="15" builtinId="23" hidden="1"/>
    <cellStyle name="Column 1" xfId="66" xr:uid="{00000000-0005-0000-0000-00001B000000}"/>
    <cellStyle name="Column 2 + 3" xfId="67" xr:uid="{00000000-0005-0000-0000-00001C000000}"/>
    <cellStyle name="Column 4" xfId="68" xr:uid="{00000000-0005-0000-0000-00001D000000}"/>
    <cellStyle name="Comma" xfId="1" builtinId="3" customBuiltin="1"/>
    <cellStyle name="Counterflow" xfId="54" xr:uid="{00000000-0005-0000-0000-00001F000000}"/>
    <cellStyle name="DateLong" xfId="60" xr:uid="{00000000-0005-0000-0000-000020000000}"/>
    <cellStyle name="DateShort" xfId="61" xr:uid="{00000000-0005-0000-0000-000021000000}"/>
    <cellStyle name="Documentation" xfId="59" xr:uid="{00000000-0005-0000-0000-000022000000}"/>
    <cellStyle name="Explanatory Text" xfId="18" builtinId="53" hidden="1"/>
    <cellStyle name="Export" xfId="56" xr:uid="{00000000-0005-0000-0000-000024000000}"/>
    <cellStyle name="Factor" xfId="62" xr:uid="{00000000-0005-0000-0000-000025000000}"/>
    <cellStyle name="Good" xfId="8" builtinId="26" hidden="1"/>
    <cellStyle name="Hard coded" xfId="57" xr:uid="{00000000-0005-0000-0000-000027000000}"/>
    <cellStyle name="Heading 1" xfId="4" builtinId="16" hidden="1"/>
    <cellStyle name="Heading 2" xfId="5" builtinId="17" hidden="1"/>
    <cellStyle name="Heading 3" xfId="6" builtinId="18" hidden="1"/>
    <cellStyle name="Heading 4" xfId="7" builtinId="19" hidden="1"/>
    <cellStyle name="Hyperlink 2" xfId="78" xr:uid="{BB8621B9-601B-4165-ABCB-F0ED26B9AC96}"/>
    <cellStyle name="Import" xfId="55" xr:uid="{00000000-0005-0000-0000-00002C000000}"/>
    <cellStyle name="Input" xfId="11" builtinId="20" hidden="1"/>
    <cellStyle name="Level 1 Heading" xfId="63" xr:uid="{00000000-0005-0000-0000-00002E000000}"/>
    <cellStyle name="Level 2 Heading" xfId="64" xr:uid="{00000000-0005-0000-0000-00002F000000}"/>
    <cellStyle name="Level 3 Heading" xfId="65" xr:uid="{00000000-0005-0000-0000-000030000000}"/>
    <cellStyle name="Linked Cell" xfId="14" builtinId="24" hidden="1"/>
    <cellStyle name="Neutral" xfId="10" builtinId="28" hidden="1"/>
    <cellStyle name="Normal" xfId="0" builtinId="0"/>
    <cellStyle name="Normal 2" xfId="69" xr:uid="{00000000-0005-0000-0000-000034000000}"/>
    <cellStyle name="Normal 2 2" xfId="76" xr:uid="{64170653-66F0-4113-9008-5356E861AB98}"/>
    <cellStyle name="Normal 2 3" xfId="86" xr:uid="{C9B9E410-B1BD-4E50-BFB8-1472A41EE8A7}"/>
    <cellStyle name="Normal 3" xfId="70" xr:uid="{00000000-0005-0000-0000-000035000000}"/>
    <cellStyle name="Normal 3 2" xfId="80" xr:uid="{F15F28C5-1B4E-4AAC-B2E3-9404411FF6B5}"/>
    <cellStyle name="Normal 4" xfId="71" xr:uid="{30627E08-1BE8-419A-BFCF-0C06AC99564C}"/>
    <cellStyle name="Normal 4 2" xfId="81" xr:uid="{53FE9C34-5E6E-4F41-B82C-A9B850653F0F}"/>
    <cellStyle name="Normal 5" xfId="73" xr:uid="{AB791853-8AF3-4ABF-AA26-47A35F155CEB}"/>
    <cellStyle name="Normal 6" xfId="74" xr:uid="{149805FE-75BD-47C6-9E21-C11EEC5CEDDA}"/>
    <cellStyle name="Normal 7 2" xfId="75" xr:uid="{3275C475-6E6C-4E19-B2D4-177D7BB01C97}"/>
    <cellStyle name="Normal 7 2 2" xfId="82" xr:uid="{66D1DABF-5875-4B0B-A1C4-CE9E2709B197}"/>
    <cellStyle name="Normal 7 2 2 2" xfId="84" xr:uid="{885DB7DB-A100-464A-8621-BA0A4A53440D}"/>
    <cellStyle name="Normal 8" xfId="79" xr:uid="{4363FC69-E0BB-4EAB-8D3F-8AF55DA47ECA}"/>
    <cellStyle name="Normal 8 2" xfId="83" xr:uid="{956C1C86-59FA-427B-A7B2-8BD056F1C6D8}"/>
    <cellStyle name="Normal 8 3" xfId="85" xr:uid="{17F5818D-8F53-430A-B009-22893D59F953}"/>
    <cellStyle name="Note" xfId="17" builtinId="10" hidden="1"/>
    <cellStyle name="Output" xfId="12" builtinId="21" hidden="1"/>
    <cellStyle name="Pantone 130C" xfId="47" xr:uid="{00000000-0005-0000-0000-000038000000}"/>
    <cellStyle name="Pantone 179C" xfId="52" xr:uid="{00000000-0005-0000-0000-000039000000}"/>
    <cellStyle name="Pantone 232C" xfId="51" xr:uid="{00000000-0005-0000-0000-00003A000000}"/>
    <cellStyle name="Pantone 2745C" xfId="50" xr:uid="{00000000-0005-0000-0000-00003B000000}"/>
    <cellStyle name="Pantone 279C" xfId="45" xr:uid="{00000000-0005-0000-0000-00003C000000}"/>
    <cellStyle name="Pantone 281C" xfId="44" xr:uid="{00000000-0005-0000-0000-00003D000000}"/>
    <cellStyle name="Pantone 451C" xfId="46" xr:uid="{00000000-0005-0000-0000-00003E000000}"/>
    <cellStyle name="Pantone 583C" xfId="49" xr:uid="{00000000-0005-0000-0000-00003F000000}"/>
    <cellStyle name="Pantone 633C" xfId="48" xr:uid="{00000000-0005-0000-0000-000040000000}"/>
    <cellStyle name="Per cent 2" xfId="72" xr:uid="{93041F9F-CABF-4CDE-8E62-75DF787F0E44}"/>
    <cellStyle name="Percent" xfId="2" builtinId="5" customBuiltin="1"/>
    <cellStyle name="Percent [0]" xfId="58" xr:uid="{00000000-0005-0000-0000-000042000000}"/>
    <cellStyle name="Title" xfId="3" builtinId="15" hidden="1"/>
    <cellStyle name="Total" xfId="19" builtinId="25" hidden="1"/>
    <cellStyle name="Warning Text" xfId="16" builtinId="11" customBuiltin="1"/>
    <cellStyle name="WIP" xfId="53" xr:uid="{00000000-0005-0000-0000-000046000000}"/>
    <cellStyle name="Year" xfId="77" xr:uid="{FD357F6C-BDB2-4EA0-B379-F33910BC0B24}"/>
  </cellStyles>
  <dxfs count="4">
    <dxf>
      <font>
        <b val="0"/>
        <i val="0"/>
        <strike val="0"/>
        <condense val="0"/>
        <extend val="0"/>
        <outline val="0"/>
        <shadow val="0"/>
        <u val="none"/>
        <vertAlign val="baseline"/>
        <sz val="12"/>
        <color auto="1"/>
        <name val="Calibri"/>
        <family val="2"/>
        <scheme val="none"/>
      </font>
      <numFmt numFmtId="0" formatCode="General"/>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2"/>
        <color theme="1"/>
        <name val="Calibri"/>
        <family val="2"/>
        <scheme val="none"/>
      </font>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Calibri"/>
        <family val="2"/>
        <scheme val="none"/>
      </font>
      <fill>
        <patternFill patternType="none">
          <fgColor indexed="64"/>
          <bgColor indexed="65"/>
        </patternFill>
      </fill>
      <alignment horizontal="general" vertical="center" textRotation="0" wrapText="0" indent="0" justifyLastLine="0" shrinkToFit="0" readingOrder="0"/>
    </dxf>
    <dxf>
      <font>
        <b/>
        <i val="0"/>
        <strike val="0"/>
        <condense val="0"/>
        <extend val="0"/>
        <outline val="0"/>
        <shadow val="0"/>
        <u val="none"/>
        <vertAlign val="baseline"/>
        <sz val="12"/>
        <color theme="0"/>
        <name val="Calibri"/>
        <family val="2"/>
        <scheme val="none"/>
      </font>
      <fill>
        <patternFill patternType="none">
          <fgColor indexed="64"/>
          <bgColor indexed="65"/>
        </patternFill>
      </fill>
      <alignment horizontal="left" vertical="center" textRotation="0" wrapText="0" indent="0" justifyLastLine="0" shrinkToFit="0" readingOrder="0"/>
    </dxf>
  </dxfs>
  <tableStyles count="0" defaultTableStyle="TableStyleMedium2" defaultPivotStyle="PivotStyleLight16"/>
  <colors>
    <mruColors>
      <color rgb="FF98C561"/>
      <color rgb="FFE7E6E6"/>
      <color rgb="FFFFDB8E"/>
      <color rgb="FFCCCCCE"/>
      <color rgb="FFDCECF5"/>
      <color rgb="FFB97BB4"/>
      <color rgb="FF57A1DF"/>
      <color rgb="FFF0F3B3"/>
      <color rgb="FF0071CE"/>
      <color rgb="FFE2E76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 Id="rId27"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65111</xdr:colOff>
      <xdr:row>11</xdr:row>
      <xdr:rowOff>5784</xdr:rowOff>
    </xdr:from>
    <xdr:to>
      <xdr:col>3</xdr:col>
      <xdr:colOff>445295</xdr:colOff>
      <xdr:row>27</xdr:row>
      <xdr:rowOff>65485</xdr:rowOff>
    </xdr:to>
    <xdr:sp macro="" textlink="">
      <xdr:nvSpPr>
        <xdr:cNvPr id="4" name="TextBox 2">
          <a:extLst>
            <a:ext uri="{FF2B5EF4-FFF2-40B4-BE49-F238E27FC236}">
              <a16:creationId xmlns:a16="http://schemas.microsoft.com/office/drawing/2014/main" id="{C6F0707B-926F-4C8C-9F43-2E46340B356A}"/>
            </a:ext>
          </a:extLst>
        </xdr:cNvPr>
        <xdr:cNvSpPr txBox="1"/>
      </xdr:nvSpPr>
      <xdr:spPr>
        <a:xfrm>
          <a:off x="648517" y="2053659"/>
          <a:ext cx="18680091" cy="2238545"/>
        </a:xfrm>
        <a:prstGeom prst="rect">
          <a:avLst/>
        </a:prstGeom>
        <a:noFill/>
        <a:ln>
          <a:noFill/>
        </a:ln>
      </xdr:spPr>
      <xdr:txBody>
        <a:bodyPr lIns="27432" tIns="22860" rIns="0" bIns="0" rtlCol="0"/>
        <a:lstStyle/>
        <a:p>
          <a:pPr algn="l"/>
          <a:r>
            <a:rPr lang="en-US" sz="1200" b="1">
              <a:latin typeface="Calibri" panose="020F0502020204030204" pitchFamily="34" charset="0"/>
              <a:ea typeface="Calibri" panose="020F0502020204030204" pitchFamily="34" charset="0"/>
              <a:cs typeface="Calibri" panose="020F0502020204030204" pitchFamily="34" charset="0"/>
            </a:rPr>
            <a:t>Summary of the model:</a:t>
          </a:r>
          <a:endParaRPr lang="en-US" sz="1200">
            <a:latin typeface="Calibri" panose="020F0502020204030204" pitchFamily="34" charset="0"/>
            <a:ea typeface="Calibri" panose="020F0502020204030204" pitchFamily="34" charset="0"/>
            <a:cs typeface="Calibri" panose="020F0502020204030204" pitchFamily="34" charset="0"/>
          </a:endParaRPr>
        </a:p>
        <a:p>
          <a:pPr algn="l"/>
          <a:endParaRPr lang="en-US" sz="1200" b="1">
            <a:solidFill>
              <a:srgbClr val="000000"/>
            </a:solidFill>
            <a:latin typeface="Calibri" panose="020F0502020204030204" pitchFamily="34" charset="0"/>
            <a:ea typeface="Calibri" panose="020F0502020204030204" pitchFamily="34" charset="0"/>
            <a:cs typeface="Calibri" panose="020F0502020204030204" pitchFamily="34" charset="0"/>
          </a:endParaRPr>
        </a:p>
        <a:p>
          <a:pPr algn="l"/>
          <a:r>
            <a:rPr lang="en-US" sz="1200" b="0">
              <a:solidFill>
                <a:srgbClr val="000000"/>
              </a:solidFill>
              <a:latin typeface="Calibri" panose="020F0502020204030204" pitchFamily="34" charset="0"/>
              <a:ea typeface="Calibri" panose="020F0502020204030204" pitchFamily="34" charset="0"/>
              <a:cs typeface="Calibri" panose="020F0502020204030204" pitchFamily="34" charset="0"/>
            </a:rPr>
            <a:t>To assess strategic resource option total expenditure (totex) included by companies in their revised PR24 business plan submissions as part</a:t>
          </a:r>
          <a:r>
            <a:rPr lang="en-US" sz="1200" b="0" baseline="0">
              <a:solidFill>
                <a:srgbClr val="000000"/>
              </a:solidFill>
              <a:latin typeface="Calibri" panose="020F0502020204030204" pitchFamily="34" charset="0"/>
              <a:ea typeface="Calibri" panose="020F0502020204030204" pitchFamily="34" charset="0"/>
              <a:cs typeface="Calibri" panose="020F0502020204030204" pitchFamily="34" charset="0"/>
            </a:rPr>
            <a:t> of draft determination representations</a:t>
          </a:r>
          <a:r>
            <a:rPr lang="en-US" sz="1200" b="0">
              <a:solidFill>
                <a:srgbClr val="000000"/>
              </a:solidFill>
              <a:latin typeface="Calibri" panose="020F0502020204030204" pitchFamily="34" charset="0"/>
              <a:ea typeface="Calibri" panose="020F0502020204030204" pitchFamily="34" charset="0"/>
              <a:cs typeface="Calibri" panose="020F0502020204030204" pitchFamily="34" charset="0"/>
            </a:rPr>
            <a:t> in the pre-defined lines in tables CW3,</a:t>
          </a:r>
          <a:r>
            <a:rPr lang="en-US" sz="1200" b="0" baseline="0">
              <a:solidFill>
                <a:srgbClr val="000000"/>
              </a:solidFill>
              <a:latin typeface="Calibri" panose="020F0502020204030204" pitchFamily="34" charset="0"/>
              <a:ea typeface="Calibri" panose="020F0502020204030204" pitchFamily="34" charset="0"/>
              <a:cs typeface="Calibri" panose="020F0502020204030204" pitchFamily="34" charset="0"/>
            </a:rPr>
            <a:t> CW8 &amp; SUP12</a:t>
          </a:r>
          <a:r>
            <a:rPr lang="en-US" sz="1200" b="0">
              <a:solidFill>
                <a:srgbClr val="000000"/>
              </a:solidFill>
              <a:latin typeface="Calibri" panose="020F0502020204030204" pitchFamily="34" charset="0"/>
              <a:ea typeface="Calibri" panose="020F0502020204030204" pitchFamily="34" charset="0"/>
              <a:cs typeface="Calibri" panose="020F0502020204030204" pitchFamily="34" charset="0"/>
            </a:rPr>
            <a:t> for</a:t>
          </a:r>
          <a:r>
            <a:rPr lang="en-US" sz="1200" b="0" baseline="0">
              <a:solidFill>
                <a:srgbClr val="000000"/>
              </a:solidFill>
              <a:latin typeface="Calibri" panose="020F0502020204030204" pitchFamily="34" charset="0"/>
              <a:ea typeface="Calibri" panose="020F0502020204030204" pitchFamily="34" charset="0"/>
              <a:cs typeface="Calibri" panose="020F0502020204030204" pitchFamily="34" charset="0"/>
            </a:rPr>
            <a:t> the Strategic Resource Options (SRO) enhancement category.</a:t>
          </a:r>
          <a:r>
            <a:rPr lang="en-US" sz="1200" b="0">
              <a:solidFill>
                <a:srgbClr val="000000"/>
              </a:solidFill>
              <a:latin typeface="Calibri" panose="020F0502020204030204" pitchFamily="34" charset="0"/>
              <a:ea typeface="Calibri" panose="020F0502020204030204" pitchFamily="34" charset="0"/>
              <a:cs typeface="Calibri" panose="020F0502020204030204" pitchFamily="34" charset="0"/>
            </a:rPr>
            <a:t> </a:t>
          </a:r>
        </a:p>
        <a:p>
          <a:pPr algn="l"/>
          <a:endParaRPr lang="en-US" sz="1200">
            <a:latin typeface="Calibri" panose="020F0502020204030204" pitchFamily="34" charset="0"/>
            <a:ea typeface="Calibri" panose="020F0502020204030204" pitchFamily="34" charset="0"/>
            <a:cs typeface="Calibri" panose="020F0502020204030204" pitchFamily="34" charset="0"/>
          </a:endParaRPr>
        </a:p>
        <a:p>
          <a:pPr algn="l"/>
          <a:r>
            <a:rPr lang="en-US" sz="1200" b="1">
              <a:latin typeface="Calibri" panose="020F0502020204030204" pitchFamily="34" charset="0"/>
              <a:ea typeface="Calibri" panose="020F0502020204030204" pitchFamily="34" charset="0"/>
              <a:cs typeface="Calibri" panose="020F0502020204030204" pitchFamily="34" charset="0"/>
            </a:rPr>
            <a:t>Quality assurance: </a:t>
          </a:r>
        </a:p>
        <a:p>
          <a:pPr algn="l"/>
          <a:endParaRPr lang="en-US" sz="1200" b="1">
            <a:latin typeface="Calibri" panose="020F0502020204030204" pitchFamily="34" charset="0"/>
            <a:ea typeface="Calibri" panose="020F0502020204030204" pitchFamily="34" charset="0"/>
            <a:cs typeface="Calibri" panose="020F0502020204030204" pitchFamily="34" charset="0"/>
          </a:endParaRPr>
        </a:p>
        <a:p>
          <a:pPr algn="l"/>
          <a:r>
            <a:rPr lang="en-GB" sz="1200">
              <a:latin typeface="Calibri" panose="020F0502020204030204" pitchFamily="34" charset="0"/>
              <a:ea typeface="Calibri" panose="020F0502020204030204" pitchFamily="34" charset="0"/>
              <a:cs typeface="Calibri" panose="020F0502020204030204" pitchFamily="34" charset="0"/>
            </a:rPr>
            <a:t>This file has been reviewed internally and by our delivery partner.</a:t>
          </a:r>
          <a:endParaRPr lang="en-US" sz="1200" b="1">
            <a:latin typeface="Calibri" panose="020F0502020204030204" pitchFamily="34" charset="0"/>
            <a:ea typeface="Calibri" panose="020F0502020204030204" pitchFamily="34" charset="0"/>
            <a:cs typeface="Calibri" panose="020F0502020204030204" pitchFamily="34" charset="0"/>
          </a:endParaRPr>
        </a:p>
        <a:p>
          <a:pPr algn="l"/>
          <a:endParaRPr lang="en-US" sz="1200">
            <a:solidFill>
              <a:srgbClr val="000000"/>
            </a:solidFill>
            <a:latin typeface="Calibri" panose="020F0502020204030204" pitchFamily="34" charset="0"/>
            <a:ea typeface="Calibri" panose="020F0502020204030204" pitchFamily="34" charset="0"/>
            <a:cs typeface="Calibri" panose="020F0502020204030204" pitchFamily="34" charset="0"/>
          </a:endParaRPr>
        </a:p>
        <a:p>
          <a:pPr marL="0" indent="0" algn="l"/>
          <a:r>
            <a:rPr lang="en-US" sz="1200" b="1">
              <a:latin typeface="Calibri" panose="020F0502020204030204" pitchFamily="34" charset="0"/>
              <a:ea typeface="Calibri" panose="020F0502020204030204" pitchFamily="34" charset="0"/>
              <a:cs typeface="Calibri" panose="020F0502020204030204" pitchFamily="34" charset="0"/>
            </a:rPr>
            <a:t>Disclaimer:</a:t>
          </a:r>
        </a:p>
        <a:p>
          <a:pPr algn="l"/>
          <a:endParaRPr lang="en-US" sz="1200">
            <a:solidFill>
              <a:srgbClr val="000000"/>
            </a:solidFill>
            <a:latin typeface="Calibri" panose="020F0502020204030204" pitchFamily="34" charset="0"/>
            <a:ea typeface="Calibri" panose="020F0502020204030204" pitchFamily="34" charset="0"/>
            <a:cs typeface="Calibri" panose="020F0502020204030204" pitchFamily="34" charset="0"/>
          </a:endParaRPr>
        </a:p>
        <a:p>
          <a:pPr algn="l"/>
          <a:r>
            <a:rPr lang="en-US" sz="1200">
              <a:solidFill>
                <a:srgbClr val="000000"/>
              </a:solidFill>
              <a:latin typeface="Calibri" panose="020F0502020204030204" pitchFamily="34" charset="0"/>
              <a:ea typeface="Calibri" panose="020F0502020204030204" pitchFamily="34" charset="0"/>
              <a:cs typeface="Calibri" panose="020F0502020204030204" pitchFamily="34" charset="0"/>
            </a:rPr>
            <a:t>This model is part of our final determinations setting out the price, service, and incentive package for water companies for the period 2025-30. It should be read together with the other documents and information that we have now published.</a:t>
          </a:r>
        </a:p>
        <a:p>
          <a:pPr algn="l"/>
          <a:endParaRPr lang="en-US" sz="1200">
            <a:solidFill>
              <a:srgbClr val="000000"/>
            </a:solidFill>
            <a:latin typeface="Calibri" panose="020F0502020204030204" pitchFamily="34" charset="0"/>
            <a:ea typeface="Calibri" panose="020F0502020204030204" pitchFamily="34" charset="0"/>
            <a:cs typeface="Calibri" panose="020F0502020204030204" pitchFamily="34" charset="0"/>
          </a:endParaRPr>
        </a:p>
        <a:p>
          <a:pPr algn="l"/>
          <a:r>
            <a:rPr lang="en-US" sz="1200" b="1">
              <a:solidFill>
                <a:srgbClr val="000000"/>
              </a:solidFill>
              <a:latin typeface="Calibri" panose="020F0502020204030204" pitchFamily="34" charset="0"/>
              <a:ea typeface="Calibri" panose="020F0502020204030204" pitchFamily="34" charset="0"/>
              <a:cs typeface="Calibri" panose="020F0502020204030204" pitchFamily="34" charset="0"/>
            </a:rPr>
            <a:t>Changes since previous published model: </a:t>
          </a:r>
          <a:r>
            <a:rPr lang="en-US" sz="1200" b="0">
              <a:solidFill>
                <a:srgbClr val="000000"/>
              </a:solidFill>
              <a:latin typeface="Calibri" panose="020F0502020204030204" pitchFamily="34" charset="0"/>
              <a:ea typeface="Calibri" panose="020F0502020204030204" pitchFamily="34" charset="0"/>
              <a:cs typeface="Calibri" panose="020F0502020204030204" pitchFamily="34" charset="0"/>
            </a:rPr>
            <a:t>N/A</a:t>
          </a:r>
        </a:p>
      </xdr:txBody>
    </xdr:sp>
    <xdr:clientData/>
  </xdr:twoCellAnchor>
  <xdr:twoCellAnchor editAs="oneCell">
    <xdr:from>
      <xdr:col>2</xdr:col>
      <xdr:colOff>7878365</xdr:colOff>
      <xdr:row>1</xdr:row>
      <xdr:rowOff>78579</xdr:rowOff>
    </xdr:from>
    <xdr:to>
      <xdr:col>2</xdr:col>
      <xdr:colOff>9908379</xdr:colOff>
      <xdr:row>6</xdr:row>
      <xdr:rowOff>18391</xdr:rowOff>
    </xdr:to>
    <xdr:pic>
      <xdr:nvPicPr>
        <xdr:cNvPr id="3" name="Picture 2">
          <a:extLst>
            <a:ext uri="{FF2B5EF4-FFF2-40B4-BE49-F238E27FC236}">
              <a16:creationId xmlns:a16="http://schemas.microsoft.com/office/drawing/2014/main" id="{BBA07FA2-173A-461E-8E63-971BD59C82CE}"/>
            </a:ext>
          </a:extLst>
        </xdr:cNvPr>
        <xdr:cNvPicPr>
          <a:picLocks noChangeAspect="1"/>
        </xdr:cNvPicPr>
      </xdr:nvPicPr>
      <xdr:blipFill>
        <a:blip xmlns:r="http://schemas.openxmlformats.org/officeDocument/2006/relationships" r:embed="rId1"/>
        <a:stretch>
          <a:fillRect/>
        </a:stretch>
      </xdr:blipFill>
      <xdr:spPr>
        <a:xfrm>
          <a:off x="11962209" y="685798"/>
          <a:ext cx="2015728" cy="89708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29576</xdr:colOff>
      <xdr:row>9</xdr:row>
      <xdr:rowOff>109567</xdr:rowOff>
    </xdr:from>
    <xdr:to>
      <xdr:col>7</xdr:col>
      <xdr:colOff>543131</xdr:colOff>
      <xdr:row>13</xdr:row>
      <xdr:rowOff>76628</xdr:rowOff>
    </xdr:to>
    <xdr:sp macro="" textlink="">
      <xdr:nvSpPr>
        <xdr:cNvPr id="3" name="Rectangle 2">
          <a:extLst>
            <a:ext uri="{FF2B5EF4-FFF2-40B4-BE49-F238E27FC236}">
              <a16:creationId xmlns:a16="http://schemas.microsoft.com/office/drawing/2014/main" id="{CCFF8416-4E59-4D74-ACC4-C8C6044C92C1}"/>
            </a:ext>
            <a:ext uri="{147F2762-F138-4A5C-976F-8EAC2B608ADB}">
              <a16:predDERef xmlns:a16="http://schemas.microsoft.com/office/drawing/2014/main" pred="{2FB62842-4C2F-4945-9F61-8B15D1D910D7}"/>
            </a:ext>
          </a:extLst>
        </xdr:cNvPr>
        <xdr:cNvSpPr/>
      </xdr:nvSpPr>
      <xdr:spPr>
        <a:xfrm>
          <a:off x="215018" y="2528748"/>
          <a:ext cx="1331188" cy="1012283"/>
        </a:xfrm>
        <a:prstGeom prst="rect">
          <a:avLst/>
        </a:prstGeom>
        <a:solidFill>
          <a:srgbClr val="FFDB8E"/>
        </a:solidFill>
        <a:ln w="19050">
          <a:solidFill>
            <a:srgbClr val="172C51"/>
          </a:solidFill>
        </a:ln>
      </xdr:spPr>
      <xdr:style>
        <a:lnRef idx="2">
          <a:schemeClr val="accent5">
            <a:shade val="15000"/>
          </a:schemeClr>
        </a:lnRef>
        <a:fillRef idx="1">
          <a:schemeClr val="accent5"/>
        </a:fillRef>
        <a:effectRef idx="0">
          <a:schemeClr val="accent5"/>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indent="0" algn="ctr"/>
          <a:r>
            <a:rPr lang="en-GB" sz="1050">
              <a:solidFill>
                <a:schemeClr val="tx1"/>
              </a:solidFill>
              <a:latin typeface="+mn-lt"/>
              <a:ea typeface="+mn-ea"/>
              <a:cs typeface="+mn-cs"/>
            </a:rPr>
            <a:t>F_Inputs BP:</a:t>
          </a:r>
        </a:p>
        <a:p>
          <a:pPr marL="0" indent="0" algn="ctr"/>
          <a:r>
            <a:rPr lang="en-GB" sz="1050">
              <a:solidFill>
                <a:schemeClr val="tx1"/>
              </a:solidFill>
              <a:latin typeface="+mn-lt"/>
              <a:ea typeface="+mn-ea"/>
              <a:cs typeface="+mn-cs"/>
            </a:rPr>
            <a:t>PR24 business plan data</a:t>
          </a:r>
        </a:p>
      </xdr:txBody>
    </xdr:sp>
    <xdr:clientData/>
  </xdr:twoCellAnchor>
  <xdr:twoCellAnchor>
    <xdr:from>
      <xdr:col>11</xdr:col>
      <xdr:colOff>1127124</xdr:colOff>
      <xdr:row>24</xdr:row>
      <xdr:rowOff>111178</xdr:rowOff>
    </xdr:from>
    <xdr:to>
      <xdr:col>13</xdr:col>
      <xdr:colOff>234156</xdr:colOff>
      <xdr:row>28</xdr:row>
      <xdr:rowOff>108789</xdr:rowOff>
    </xdr:to>
    <xdr:sp macro="" textlink="">
      <xdr:nvSpPr>
        <xdr:cNvPr id="104" name="Rectangle 3">
          <a:extLst>
            <a:ext uri="{FF2B5EF4-FFF2-40B4-BE49-F238E27FC236}">
              <a16:creationId xmlns:a16="http://schemas.microsoft.com/office/drawing/2014/main" id="{1A9B8D01-F325-48C4-A1ED-9783D01D1A57}"/>
            </a:ext>
            <a:ext uri="{147F2762-F138-4A5C-976F-8EAC2B608ADB}">
              <a16:predDERef xmlns:a16="http://schemas.microsoft.com/office/drawing/2014/main" pred="{DEB0D8AE-3D0C-4F4F-898A-6219006E1000}"/>
            </a:ext>
          </a:extLst>
        </xdr:cNvPr>
        <xdr:cNvSpPr/>
      </xdr:nvSpPr>
      <xdr:spPr>
        <a:xfrm>
          <a:off x="4806156" y="6365928"/>
          <a:ext cx="1321594" cy="1029486"/>
        </a:xfrm>
        <a:prstGeom prst="rect">
          <a:avLst/>
        </a:prstGeom>
        <a:solidFill>
          <a:srgbClr val="98C561"/>
        </a:solidFill>
        <a:ln w="19050">
          <a:solidFill>
            <a:srgbClr val="172C51"/>
          </a:solidFill>
        </a:ln>
      </xdr:spPr>
      <xdr:style>
        <a:lnRef idx="2">
          <a:schemeClr val="accent5">
            <a:shade val="15000"/>
          </a:schemeClr>
        </a:lnRef>
        <a:fillRef idx="1">
          <a:schemeClr val="accent5"/>
        </a:fillRef>
        <a:effectRef idx="0">
          <a:schemeClr val="accent5"/>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indent="0" algn="ctr"/>
          <a:r>
            <a:rPr lang="en-GB" sz="1050">
              <a:solidFill>
                <a:schemeClr val="tx1"/>
              </a:solidFill>
              <a:latin typeface="+mn-lt"/>
              <a:ea typeface="+mn-ea"/>
              <a:cs typeface="+mn-cs"/>
            </a:rPr>
            <a:t>Allowance</a:t>
          </a:r>
        </a:p>
      </xdr:txBody>
    </xdr:sp>
    <xdr:clientData/>
  </xdr:twoCellAnchor>
  <xdr:twoCellAnchor>
    <xdr:from>
      <xdr:col>7</xdr:col>
      <xdr:colOff>1314450</xdr:colOff>
      <xdr:row>3</xdr:row>
      <xdr:rowOff>157162</xdr:rowOff>
    </xdr:from>
    <xdr:to>
      <xdr:col>10</xdr:col>
      <xdr:colOff>137318</xdr:colOff>
      <xdr:row>7</xdr:row>
      <xdr:rowOff>128986</xdr:rowOff>
    </xdr:to>
    <xdr:sp macro="" textlink="">
      <xdr:nvSpPr>
        <xdr:cNvPr id="5" name="Rectangle 4">
          <a:extLst>
            <a:ext uri="{FF2B5EF4-FFF2-40B4-BE49-F238E27FC236}">
              <a16:creationId xmlns:a16="http://schemas.microsoft.com/office/drawing/2014/main" id="{7354AC6C-D7C5-4B76-8A43-32362CFEE245}"/>
            </a:ext>
            <a:ext uri="{147F2762-F138-4A5C-976F-8EAC2B608ADB}">
              <a16:predDERef xmlns:a16="http://schemas.microsoft.com/office/drawing/2014/main" pred="{2FB62842-4C2F-4945-9F61-8B15D1D910D7}"/>
            </a:ext>
          </a:extLst>
        </xdr:cNvPr>
        <xdr:cNvSpPr/>
      </xdr:nvSpPr>
      <xdr:spPr>
        <a:xfrm>
          <a:off x="2333625" y="914399"/>
          <a:ext cx="1342230" cy="657624"/>
        </a:xfrm>
        <a:prstGeom prst="rect">
          <a:avLst/>
        </a:prstGeom>
        <a:solidFill>
          <a:srgbClr val="FFDB8E"/>
        </a:solidFill>
        <a:ln w="19050">
          <a:solidFill>
            <a:srgbClr val="172C51"/>
          </a:solidFill>
        </a:ln>
      </xdr:spPr>
      <xdr:style>
        <a:lnRef idx="2">
          <a:schemeClr val="accent5">
            <a:shade val="15000"/>
          </a:schemeClr>
        </a:lnRef>
        <a:fillRef idx="1">
          <a:schemeClr val="accent5"/>
        </a:fillRef>
        <a:effectRef idx="0">
          <a:schemeClr val="accent5"/>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indent="0" algn="ctr"/>
          <a:r>
            <a:rPr lang="en-GB" sz="1050">
              <a:solidFill>
                <a:schemeClr val="tx1"/>
              </a:solidFill>
              <a:latin typeface="+mn-lt"/>
              <a:ea typeface="+mn-ea"/>
              <a:cs typeface="+mn-cs"/>
            </a:rPr>
            <a:t>Inputs</a:t>
          </a:r>
        </a:p>
      </xdr:txBody>
    </xdr:sp>
    <xdr:clientData/>
  </xdr:twoCellAnchor>
  <xdr:twoCellAnchor>
    <xdr:from>
      <xdr:col>11</xdr:col>
      <xdr:colOff>161924</xdr:colOff>
      <xdr:row>3</xdr:row>
      <xdr:rowOff>161924</xdr:rowOff>
    </xdr:from>
    <xdr:to>
      <xdr:col>11</xdr:col>
      <xdr:colOff>1494630</xdr:colOff>
      <xdr:row>7</xdr:row>
      <xdr:rowOff>133748</xdr:rowOff>
    </xdr:to>
    <xdr:sp macro="" textlink="">
      <xdr:nvSpPr>
        <xdr:cNvPr id="6" name="Rectangle 5">
          <a:extLst>
            <a:ext uri="{FF2B5EF4-FFF2-40B4-BE49-F238E27FC236}">
              <a16:creationId xmlns:a16="http://schemas.microsoft.com/office/drawing/2014/main" id="{475E8C4D-5DF4-4FE8-98E4-E9C95840A628}"/>
            </a:ext>
            <a:ext uri="{147F2762-F138-4A5C-976F-8EAC2B608ADB}">
              <a16:predDERef xmlns:a16="http://schemas.microsoft.com/office/drawing/2014/main" pred="{2FB62842-4C2F-4945-9F61-8B15D1D910D7}"/>
            </a:ext>
          </a:extLst>
        </xdr:cNvPr>
        <xdr:cNvSpPr/>
      </xdr:nvSpPr>
      <xdr:spPr>
        <a:xfrm>
          <a:off x="3852862" y="1197768"/>
          <a:ext cx="1332706" cy="1019574"/>
        </a:xfrm>
        <a:prstGeom prst="rect">
          <a:avLst/>
        </a:prstGeom>
        <a:solidFill>
          <a:srgbClr val="FFDB8E"/>
        </a:solidFill>
        <a:ln w="19050">
          <a:solidFill>
            <a:srgbClr val="172C51"/>
          </a:solidFill>
        </a:ln>
      </xdr:spPr>
      <xdr:style>
        <a:lnRef idx="2">
          <a:schemeClr val="accent5">
            <a:shade val="15000"/>
          </a:schemeClr>
        </a:lnRef>
        <a:fillRef idx="1">
          <a:schemeClr val="accent5"/>
        </a:fillRef>
        <a:effectRef idx="0">
          <a:schemeClr val="accent5"/>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indent="0" algn="ctr"/>
          <a:r>
            <a:rPr lang="en-GB" sz="1050">
              <a:solidFill>
                <a:schemeClr val="tx1"/>
              </a:solidFill>
              <a:latin typeface="+mn-lt"/>
              <a:ea typeface="+mn-ea"/>
              <a:cs typeface="+mn-cs"/>
            </a:rPr>
            <a:t>Other_Inputs</a:t>
          </a:r>
        </a:p>
      </xdr:txBody>
    </xdr:sp>
    <xdr:clientData/>
  </xdr:twoCellAnchor>
  <xdr:twoCellAnchor>
    <xdr:from>
      <xdr:col>8</xdr:col>
      <xdr:colOff>76200</xdr:colOff>
      <xdr:row>14</xdr:row>
      <xdr:rowOff>4763</xdr:rowOff>
    </xdr:from>
    <xdr:to>
      <xdr:col>11</xdr:col>
      <xdr:colOff>770731</xdr:colOff>
      <xdr:row>17</xdr:row>
      <xdr:rowOff>143274</xdr:rowOff>
    </xdr:to>
    <xdr:sp macro="" textlink="">
      <xdr:nvSpPr>
        <xdr:cNvPr id="9" name="Rectangle 8">
          <a:extLst>
            <a:ext uri="{FF2B5EF4-FFF2-40B4-BE49-F238E27FC236}">
              <a16:creationId xmlns:a16="http://schemas.microsoft.com/office/drawing/2014/main" id="{E538EA32-5BF4-4221-92D0-34953DC14F94}"/>
            </a:ext>
            <a:ext uri="{147F2762-F138-4A5C-976F-8EAC2B608ADB}">
              <a16:predDERef xmlns:a16="http://schemas.microsoft.com/office/drawing/2014/main" pred="{2FB62842-4C2F-4945-9F61-8B15D1D910D7}"/>
            </a:ext>
          </a:extLst>
        </xdr:cNvPr>
        <xdr:cNvSpPr/>
      </xdr:nvSpPr>
      <xdr:spPr>
        <a:xfrm>
          <a:off x="3143250" y="2647950"/>
          <a:ext cx="1332706" cy="648099"/>
        </a:xfrm>
        <a:prstGeom prst="rect">
          <a:avLst/>
        </a:prstGeom>
        <a:solidFill>
          <a:srgbClr val="FFDB8E"/>
        </a:solidFill>
        <a:ln w="19050">
          <a:solidFill>
            <a:srgbClr val="172C51"/>
          </a:solidFill>
        </a:ln>
      </xdr:spPr>
      <xdr:style>
        <a:lnRef idx="2">
          <a:schemeClr val="accent5">
            <a:shade val="15000"/>
          </a:schemeClr>
        </a:lnRef>
        <a:fillRef idx="1">
          <a:schemeClr val="accent5"/>
        </a:fillRef>
        <a:effectRef idx="0">
          <a:schemeClr val="accent5"/>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indent="0" algn="ctr"/>
          <a:r>
            <a:rPr lang="en-GB" sz="1050">
              <a:solidFill>
                <a:schemeClr val="tx1"/>
              </a:solidFill>
              <a:latin typeface="+mn-lt"/>
              <a:ea typeface="+mn-ea"/>
              <a:cs typeface="+mn-cs"/>
            </a:rPr>
            <a:t>Reallocations</a:t>
          </a:r>
        </a:p>
      </xdr:txBody>
    </xdr:sp>
    <xdr:clientData/>
  </xdr:twoCellAnchor>
  <xdr:twoCellAnchor>
    <xdr:from>
      <xdr:col>11</xdr:col>
      <xdr:colOff>1095374</xdr:colOff>
      <xdr:row>14</xdr:row>
      <xdr:rowOff>0</xdr:rowOff>
    </xdr:from>
    <xdr:to>
      <xdr:col>13</xdr:col>
      <xdr:colOff>218280</xdr:colOff>
      <xdr:row>17</xdr:row>
      <xdr:rowOff>152798</xdr:rowOff>
    </xdr:to>
    <xdr:sp macro="" textlink="">
      <xdr:nvSpPr>
        <xdr:cNvPr id="10" name="Rectangle 9">
          <a:extLst>
            <a:ext uri="{FF2B5EF4-FFF2-40B4-BE49-F238E27FC236}">
              <a16:creationId xmlns:a16="http://schemas.microsoft.com/office/drawing/2014/main" id="{DE184787-BEAB-435B-A732-4860B6A55034}"/>
            </a:ext>
            <a:ext uri="{147F2762-F138-4A5C-976F-8EAC2B608ADB}">
              <a16:predDERef xmlns:a16="http://schemas.microsoft.com/office/drawing/2014/main" pred="{2FB62842-4C2F-4945-9F61-8B15D1D910D7}"/>
            </a:ext>
          </a:extLst>
        </xdr:cNvPr>
        <xdr:cNvSpPr/>
      </xdr:nvSpPr>
      <xdr:spPr>
        <a:xfrm>
          <a:off x="4804521" y="3866029"/>
          <a:ext cx="1341671" cy="926004"/>
        </a:xfrm>
        <a:prstGeom prst="rect">
          <a:avLst/>
        </a:prstGeom>
        <a:solidFill>
          <a:srgbClr val="FFDB8E"/>
        </a:solidFill>
        <a:ln w="19050">
          <a:solidFill>
            <a:srgbClr val="172C51"/>
          </a:solidFill>
        </a:ln>
      </xdr:spPr>
      <xdr:style>
        <a:lnRef idx="2">
          <a:schemeClr val="accent5">
            <a:shade val="15000"/>
          </a:schemeClr>
        </a:lnRef>
        <a:fillRef idx="1">
          <a:schemeClr val="accent5"/>
        </a:fillRef>
        <a:effectRef idx="0">
          <a:schemeClr val="accent5"/>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indent="0" algn="ctr"/>
          <a:r>
            <a:rPr lang="en-GB" sz="1050">
              <a:solidFill>
                <a:schemeClr val="tx1"/>
              </a:solidFill>
              <a:latin typeface="+mn-lt"/>
              <a:ea typeface="+mn-ea"/>
              <a:cs typeface="+mn-cs"/>
            </a:rPr>
            <a:t>F_Input</a:t>
          </a:r>
          <a:r>
            <a:rPr lang="en-GB" sz="1050" baseline="0">
              <a:solidFill>
                <a:schemeClr val="tx1"/>
              </a:solidFill>
              <a:latin typeface="+mn-lt"/>
              <a:ea typeface="+mn-ea"/>
              <a:cs typeface="+mn-cs"/>
            </a:rPr>
            <a:t> Override</a:t>
          </a:r>
          <a:endParaRPr lang="en-GB" sz="1050">
            <a:solidFill>
              <a:schemeClr val="tx1"/>
            </a:solidFill>
            <a:latin typeface="+mn-lt"/>
            <a:ea typeface="+mn-ea"/>
            <a:cs typeface="+mn-cs"/>
          </a:endParaRPr>
        </a:p>
      </xdr:txBody>
    </xdr:sp>
    <xdr:clientData/>
  </xdr:twoCellAnchor>
  <xdr:twoCellAnchor>
    <xdr:from>
      <xdr:col>11</xdr:col>
      <xdr:colOff>1111250</xdr:colOff>
      <xdr:row>19</xdr:row>
      <xdr:rowOff>37893</xdr:rowOff>
    </xdr:from>
    <xdr:to>
      <xdr:col>13</xdr:col>
      <xdr:colOff>233318</xdr:colOff>
      <xdr:row>22</xdr:row>
      <xdr:rowOff>236675</xdr:rowOff>
    </xdr:to>
    <xdr:sp macro="" textlink="">
      <xdr:nvSpPr>
        <xdr:cNvPr id="99" name="Rectangle 12">
          <a:extLst>
            <a:ext uri="{FF2B5EF4-FFF2-40B4-BE49-F238E27FC236}">
              <a16:creationId xmlns:a16="http://schemas.microsoft.com/office/drawing/2014/main" id="{2573E3A6-6D98-4968-B468-68775FC85E86}"/>
            </a:ext>
          </a:extLst>
        </xdr:cNvPr>
        <xdr:cNvSpPr/>
      </xdr:nvSpPr>
      <xdr:spPr>
        <a:xfrm>
          <a:off x="4790282" y="5002800"/>
          <a:ext cx="1336630" cy="972688"/>
        </a:xfrm>
        <a:prstGeom prst="rect">
          <a:avLst/>
        </a:prstGeom>
        <a:solidFill>
          <a:srgbClr val="CCCCCE"/>
        </a:solidFill>
        <a:ln w="19050">
          <a:solidFill>
            <a:srgbClr val="172C51"/>
          </a:solidFill>
        </a:ln>
      </xdr:spPr>
      <xdr:style>
        <a:lnRef idx="2">
          <a:schemeClr val="accent5">
            <a:shade val="15000"/>
          </a:schemeClr>
        </a:lnRef>
        <a:fillRef idx="1">
          <a:schemeClr val="accent5"/>
        </a:fillRef>
        <a:effectRef idx="0">
          <a:schemeClr val="accent5"/>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indent="0" algn="ctr"/>
          <a:r>
            <a:rPr lang="en-GB" sz="1050">
              <a:solidFill>
                <a:schemeClr val="tx1"/>
              </a:solidFill>
              <a:latin typeface="+mn-lt"/>
              <a:ea typeface="+mn-ea"/>
              <a:cs typeface="+mn-cs"/>
            </a:rPr>
            <a:t>Materiality &amp; Deep</a:t>
          </a:r>
          <a:r>
            <a:rPr lang="en-GB" sz="1050" baseline="0">
              <a:solidFill>
                <a:schemeClr val="tx1"/>
              </a:solidFill>
              <a:latin typeface="+mn-lt"/>
              <a:ea typeface="+mn-ea"/>
              <a:cs typeface="+mn-cs"/>
            </a:rPr>
            <a:t> Dive</a:t>
          </a:r>
          <a:endParaRPr lang="en-GB" sz="1050">
            <a:solidFill>
              <a:schemeClr val="tx1"/>
            </a:solidFill>
            <a:latin typeface="+mn-lt"/>
            <a:ea typeface="+mn-ea"/>
            <a:cs typeface="+mn-cs"/>
          </a:endParaRPr>
        </a:p>
      </xdr:txBody>
    </xdr:sp>
    <xdr:clientData/>
  </xdr:twoCellAnchor>
  <xdr:twoCellAnchor>
    <xdr:from>
      <xdr:col>11</xdr:col>
      <xdr:colOff>1135063</xdr:colOff>
      <xdr:row>29</xdr:row>
      <xdr:rowOff>248440</xdr:rowOff>
    </xdr:from>
    <xdr:to>
      <xdr:col>13</xdr:col>
      <xdr:colOff>238125</xdr:colOff>
      <xdr:row>33</xdr:row>
      <xdr:rowOff>255573</xdr:rowOff>
    </xdr:to>
    <xdr:sp macro="" textlink="">
      <xdr:nvSpPr>
        <xdr:cNvPr id="108" name="Rectangle 15">
          <a:extLst>
            <a:ext uri="{FF2B5EF4-FFF2-40B4-BE49-F238E27FC236}">
              <a16:creationId xmlns:a16="http://schemas.microsoft.com/office/drawing/2014/main" id="{4271721C-C193-48C5-9378-E7B0616760FE}"/>
            </a:ext>
            <a:ext uri="{147F2762-F138-4A5C-976F-8EAC2B608ADB}">
              <a16:predDERef xmlns:a16="http://schemas.microsoft.com/office/drawing/2014/main" pred="{DEB0D8AE-3D0C-4F4F-898A-6219006E1000}"/>
            </a:ext>
          </a:extLst>
        </xdr:cNvPr>
        <xdr:cNvSpPr/>
      </xdr:nvSpPr>
      <xdr:spPr>
        <a:xfrm>
          <a:off x="4814095" y="7793034"/>
          <a:ext cx="1317624" cy="1039008"/>
        </a:xfrm>
        <a:prstGeom prst="rect">
          <a:avLst/>
        </a:prstGeom>
        <a:solidFill>
          <a:srgbClr val="98C561"/>
        </a:solidFill>
        <a:ln w="19050">
          <a:solidFill>
            <a:srgbClr val="172C51"/>
          </a:solidFill>
        </a:ln>
      </xdr:spPr>
      <xdr:style>
        <a:lnRef idx="2">
          <a:schemeClr val="accent5">
            <a:shade val="15000"/>
          </a:schemeClr>
        </a:lnRef>
        <a:fillRef idx="1">
          <a:schemeClr val="accent5"/>
        </a:fillRef>
        <a:effectRef idx="0">
          <a:schemeClr val="accent5"/>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indent="0" algn="ctr"/>
          <a:r>
            <a:rPr lang="en-GB" sz="1050">
              <a:solidFill>
                <a:schemeClr val="tx1"/>
              </a:solidFill>
              <a:latin typeface="+mn-lt"/>
              <a:ea typeface="+mn-ea"/>
              <a:cs typeface="+mn-cs"/>
            </a:rPr>
            <a:t>Outputs</a:t>
          </a:r>
          <a:r>
            <a:rPr lang="en-GB" sz="1050" baseline="0">
              <a:solidFill>
                <a:schemeClr val="tx1"/>
              </a:solidFill>
              <a:latin typeface="+mn-lt"/>
              <a:ea typeface="+mn-ea"/>
              <a:cs typeface="+mn-cs"/>
            </a:rPr>
            <a:t> to aggregator</a:t>
          </a:r>
        </a:p>
      </xdr:txBody>
    </xdr:sp>
    <xdr:clientData/>
  </xdr:twoCellAnchor>
  <xdr:twoCellAnchor>
    <xdr:from>
      <xdr:col>7</xdr:col>
      <xdr:colOff>1983323</xdr:colOff>
      <xdr:row>7</xdr:row>
      <xdr:rowOff>133748</xdr:rowOff>
    </xdr:from>
    <xdr:to>
      <xdr:col>11</xdr:col>
      <xdr:colOff>109700</xdr:colOff>
      <xdr:row>14</xdr:row>
      <xdr:rowOff>9525</xdr:rowOff>
    </xdr:to>
    <xdr:cxnSp macro="">
      <xdr:nvCxnSpPr>
        <xdr:cNvPr id="25" name="Connector: Elbow 24">
          <a:extLst>
            <a:ext uri="{FF2B5EF4-FFF2-40B4-BE49-F238E27FC236}">
              <a16:creationId xmlns:a16="http://schemas.microsoft.com/office/drawing/2014/main" id="{0C72CE68-DA4B-0D39-4B63-A72BEF8A2DF6}"/>
            </a:ext>
          </a:extLst>
        </xdr:cNvPr>
        <xdr:cNvCxnSpPr>
          <a:stCxn id="5" idx="2"/>
          <a:endCxn id="9" idx="0"/>
        </xdr:cNvCxnSpPr>
      </xdr:nvCxnSpPr>
      <xdr:spPr>
        <a:xfrm rot="16200000" flipH="1">
          <a:off x="2576594" y="2633300"/>
          <a:ext cx="1679924" cy="804583"/>
        </a:xfrm>
        <a:prstGeom prst="bentConnector3">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114463</xdr:colOff>
      <xdr:row>7</xdr:row>
      <xdr:rowOff>133748</xdr:rowOff>
    </xdr:from>
    <xdr:to>
      <xdr:col>11</xdr:col>
      <xdr:colOff>828277</xdr:colOff>
      <xdr:row>14</xdr:row>
      <xdr:rowOff>9525</xdr:rowOff>
    </xdr:to>
    <xdr:cxnSp macro="">
      <xdr:nvCxnSpPr>
        <xdr:cNvPr id="27" name="Connector: Elbow 26">
          <a:extLst>
            <a:ext uri="{FF2B5EF4-FFF2-40B4-BE49-F238E27FC236}">
              <a16:creationId xmlns:a16="http://schemas.microsoft.com/office/drawing/2014/main" id="{C5F5835D-0DBA-7145-D888-7F5932ECD6E5}"/>
            </a:ext>
          </a:extLst>
        </xdr:cNvPr>
        <xdr:cNvCxnSpPr>
          <a:stCxn id="6" idx="2"/>
          <a:endCxn id="9" idx="0"/>
        </xdr:cNvCxnSpPr>
      </xdr:nvCxnSpPr>
      <xdr:spPr>
        <a:xfrm rot="5400000">
          <a:off x="3338174" y="2676304"/>
          <a:ext cx="1679924" cy="718576"/>
        </a:xfrm>
        <a:prstGeom prst="bentConnector3">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770731</xdr:colOff>
      <xdr:row>15</xdr:row>
      <xdr:rowOff>203003</xdr:rowOff>
    </xdr:from>
    <xdr:to>
      <xdr:col>11</xdr:col>
      <xdr:colOff>1039812</xdr:colOff>
      <xdr:row>15</xdr:row>
      <xdr:rowOff>206374</xdr:rowOff>
    </xdr:to>
    <xdr:cxnSp macro="">
      <xdr:nvCxnSpPr>
        <xdr:cNvPr id="236" name="Straight Arrow Connector 28">
          <a:extLst>
            <a:ext uri="{FF2B5EF4-FFF2-40B4-BE49-F238E27FC236}">
              <a16:creationId xmlns:a16="http://schemas.microsoft.com/office/drawing/2014/main" id="{AEC5B2D4-BC93-B974-DD41-A816CFEB17C9}"/>
            </a:ext>
          </a:extLst>
        </xdr:cNvPr>
        <xdr:cNvCxnSpPr>
          <a:stCxn id="9" idx="3"/>
        </xdr:cNvCxnSpPr>
      </xdr:nvCxnSpPr>
      <xdr:spPr>
        <a:xfrm>
          <a:off x="4449763" y="4136035"/>
          <a:ext cx="269081" cy="337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218280</xdr:colOff>
      <xdr:row>15</xdr:row>
      <xdr:rowOff>205383</xdr:rowOff>
    </xdr:from>
    <xdr:to>
      <xdr:col>15</xdr:col>
      <xdr:colOff>43656</xdr:colOff>
      <xdr:row>15</xdr:row>
      <xdr:rowOff>206374</xdr:rowOff>
    </xdr:to>
    <xdr:cxnSp macro="">
      <xdr:nvCxnSpPr>
        <xdr:cNvPr id="235" name="Straight Arrow Connector 36">
          <a:extLst>
            <a:ext uri="{FF2B5EF4-FFF2-40B4-BE49-F238E27FC236}">
              <a16:creationId xmlns:a16="http://schemas.microsoft.com/office/drawing/2014/main" id="{FC5E1D9E-29FF-8610-C60C-E331380F9F6C}"/>
            </a:ext>
          </a:extLst>
        </xdr:cNvPr>
        <xdr:cNvCxnSpPr>
          <a:stCxn id="10" idx="3"/>
        </xdr:cNvCxnSpPr>
      </xdr:nvCxnSpPr>
      <xdr:spPr>
        <a:xfrm>
          <a:off x="6111874" y="4138415"/>
          <a:ext cx="289720" cy="99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578944</xdr:colOff>
      <xdr:row>17</xdr:row>
      <xdr:rowOff>106618</xdr:rowOff>
    </xdr:from>
    <xdr:to>
      <xdr:col>16</xdr:col>
      <xdr:colOff>579783</xdr:colOff>
      <xdr:row>18</xdr:row>
      <xdr:rowOff>248478</xdr:rowOff>
    </xdr:to>
    <xdr:cxnSp macro="">
      <xdr:nvCxnSpPr>
        <xdr:cNvPr id="63" name="Straight Arrow Connector 39">
          <a:extLst>
            <a:ext uri="{FF2B5EF4-FFF2-40B4-BE49-F238E27FC236}">
              <a16:creationId xmlns:a16="http://schemas.microsoft.com/office/drawing/2014/main" id="{6CFC5E62-B983-8D62-5D2A-FB669A4A769D}"/>
            </a:ext>
          </a:extLst>
        </xdr:cNvPr>
        <xdr:cNvCxnSpPr>
          <a:cxnSpLocks/>
        </xdr:cNvCxnSpPr>
      </xdr:nvCxnSpPr>
      <xdr:spPr>
        <a:xfrm>
          <a:off x="7180183" y="4744879"/>
          <a:ext cx="839" cy="39862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1316785</xdr:colOff>
      <xdr:row>20</xdr:row>
      <xdr:rowOff>256156</xdr:rowOff>
    </xdr:from>
    <xdr:to>
      <xdr:col>16</xdr:col>
      <xdr:colOff>1636021</xdr:colOff>
      <xdr:row>20</xdr:row>
      <xdr:rowOff>256470</xdr:rowOff>
    </xdr:to>
    <xdr:cxnSp macro="">
      <xdr:nvCxnSpPr>
        <xdr:cNvPr id="224" name="Straight Arrow Connector 42">
          <a:extLst>
            <a:ext uri="{FF2B5EF4-FFF2-40B4-BE49-F238E27FC236}">
              <a16:creationId xmlns:a16="http://schemas.microsoft.com/office/drawing/2014/main" id="{A35CB498-C2A0-2EF4-D972-52A53CF73AAA}"/>
            </a:ext>
          </a:extLst>
        </xdr:cNvPr>
        <xdr:cNvCxnSpPr>
          <a:cxnSpLocks/>
        </xdr:cNvCxnSpPr>
      </xdr:nvCxnSpPr>
      <xdr:spPr>
        <a:xfrm flipH="1" flipV="1">
          <a:off x="7845379" y="5479031"/>
          <a:ext cx="319236" cy="314"/>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276225</xdr:colOff>
      <xdr:row>21</xdr:row>
      <xdr:rowOff>15519</xdr:rowOff>
    </xdr:from>
    <xdr:to>
      <xdr:col>15</xdr:col>
      <xdr:colOff>125503</xdr:colOff>
      <xdr:row>21</xdr:row>
      <xdr:rowOff>15875</xdr:rowOff>
    </xdr:to>
    <xdr:cxnSp macro="">
      <xdr:nvCxnSpPr>
        <xdr:cNvPr id="258" name="Straight Arrow Connector 47">
          <a:extLst>
            <a:ext uri="{FF2B5EF4-FFF2-40B4-BE49-F238E27FC236}">
              <a16:creationId xmlns:a16="http://schemas.microsoft.com/office/drawing/2014/main" id="{D11544AB-1422-E54C-3D4B-7E40A9FDC579}"/>
            </a:ext>
          </a:extLst>
        </xdr:cNvPr>
        <xdr:cNvCxnSpPr>
          <a:cxnSpLocks/>
        </xdr:cNvCxnSpPr>
      </xdr:nvCxnSpPr>
      <xdr:spPr>
        <a:xfrm flipH="1">
          <a:off x="6181725" y="5486044"/>
          <a:ext cx="316003" cy="356"/>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632050</xdr:colOff>
      <xdr:row>22</xdr:row>
      <xdr:rowOff>236560</xdr:rowOff>
    </xdr:from>
    <xdr:to>
      <xdr:col>16</xdr:col>
      <xdr:colOff>632050</xdr:colOff>
      <xdr:row>24</xdr:row>
      <xdr:rowOff>75681</xdr:rowOff>
    </xdr:to>
    <xdr:cxnSp macro="">
      <xdr:nvCxnSpPr>
        <xdr:cNvPr id="239" name="Straight Arrow Connector 49">
          <a:extLst>
            <a:ext uri="{FF2B5EF4-FFF2-40B4-BE49-F238E27FC236}">
              <a16:creationId xmlns:a16="http://schemas.microsoft.com/office/drawing/2014/main" id="{3791AD47-BDD2-886F-F8C9-227A7BDC55C8}"/>
            </a:ext>
          </a:extLst>
        </xdr:cNvPr>
        <xdr:cNvCxnSpPr>
          <a:cxnSpLocks/>
        </xdr:cNvCxnSpPr>
      </xdr:nvCxnSpPr>
      <xdr:spPr>
        <a:xfrm flipH="1">
          <a:off x="7160644" y="5975373"/>
          <a:ext cx="0" cy="355058"/>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1777999</xdr:colOff>
      <xdr:row>22</xdr:row>
      <xdr:rowOff>236675</xdr:rowOff>
    </xdr:from>
    <xdr:to>
      <xdr:col>11</xdr:col>
      <xdr:colOff>1779565</xdr:colOff>
      <xdr:row>24</xdr:row>
      <xdr:rowOff>67469</xdr:rowOff>
    </xdr:to>
    <xdr:cxnSp macro="">
      <xdr:nvCxnSpPr>
        <xdr:cNvPr id="100" name="Straight Arrow Connector 51">
          <a:extLst>
            <a:ext uri="{FF2B5EF4-FFF2-40B4-BE49-F238E27FC236}">
              <a16:creationId xmlns:a16="http://schemas.microsoft.com/office/drawing/2014/main" id="{95C07DD9-30CC-FEA1-98C1-E94BFF8ECFD4}"/>
            </a:ext>
          </a:extLst>
        </xdr:cNvPr>
        <xdr:cNvCxnSpPr>
          <a:stCxn id="99" idx="2"/>
        </xdr:cNvCxnSpPr>
      </xdr:nvCxnSpPr>
      <xdr:spPr>
        <a:xfrm flipH="1">
          <a:off x="5457031" y="5975488"/>
          <a:ext cx="1566" cy="34673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1787921</xdr:colOff>
      <xdr:row>28</xdr:row>
      <xdr:rowOff>108789</xdr:rowOff>
    </xdr:from>
    <xdr:to>
      <xdr:col>11</xdr:col>
      <xdr:colOff>1793874</xdr:colOff>
      <xdr:row>29</xdr:row>
      <xdr:rowOff>202406</xdr:rowOff>
    </xdr:to>
    <xdr:cxnSp macro="">
      <xdr:nvCxnSpPr>
        <xdr:cNvPr id="105" name="Straight Arrow Connector 58">
          <a:extLst>
            <a:ext uri="{FF2B5EF4-FFF2-40B4-BE49-F238E27FC236}">
              <a16:creationId xmlns:a16="http://schemas.microsoft.com/office/drawing/2014/main" id="{557486BC-9DD2-BB79-9CD2-57691FBB390C}"/>
            </a:ext>
          </a:extLst>
        </xdr:cNvPr>
        <xdr:cNvCxnSpPr>
          <a:stCxn id="104" idx="2"/>
        </xdr:cNvCxnSpPr>
      </xdr:nvCxnSpPr>
      <xdr:spPr>
        <a:xfrm>
          <a:off x="5466953" y="7395414"/>
          <a:ext cx="5953" cy="351586"/>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989212</xdr:colOff>
      <xdr:row>20</xdr:row>
      <xdr:rowOff>235978</xdr:rowOff>
    </xdr:from>
    <xdr:to>
      <xdr:col>17</xdr:col>
      <xdr:colOff>1320722</xdr:colOff>
      <xdr:row>20</xdr:row>
      <xdr:rowOff>237132</xdr:rowOff>
    </xdr:to>
    <xdr:cxnSp macro="">
      <xdr:nvCxnSpPr>
        <xdr:cNvPr id="233" name="Straight Arrow Connector 13">
          <a:extLst>
            <a:ext uri="{FF2B5EF4-FFF2-40B4-BE49-F238E27FC236}">
              <a16:creationId xmlns:a16="http://schemas.microsoft.com/office/drawing/2014/main" id="{B0A8799F-483F-4EE3-B907-BD51AD7DED90}"/>
            </a:ext>
          </a:extLst>
        </xdr:cNvPr>
        <xdr:cNvCxnSpPr>
          <a:cxnSpLocks/>
        </xdr:cNvCxnSpPr>
      </xdr:nvCxnSpPr>
      <xdr:spPr>
        <a:xfrm flipH="1">
          <a:off x="9564689" y="5424127"/>
          <a:ext cx="331510" cy="1154"/>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47674</xdr:colOff>
      <xdr:row>3</xdr:row>
      <xdr:rowOff>170150</xdr:rowOff>
    </xdr:from>
    <xdr:to>
      <xdr:col>7</xdr:col>
      <xdr:colOff>540043</xdr:colOff>
      <xdr:row>7</xdr:row>
      <xdr:rowOff>141974</xdr:rowOff>
    </xdr:to>
    <xdr:sp macro="" textlink="">
      <xdr:nvSpPr>
        <xdr:cNvPr id="237" name="Rectangle 34">
          <a:extLst>
            <a:ext uri="{FF2B5EF4-FFF2-40B4-BE49-F238E27FC236}">
              <a16:creationId xmlns:a16="http://schemas.microsoft.com/office/drawing/2014/main" id="{396F2A7C-3BCC-42BE-948E-92AD87A597A2}"/>
            </a:ext>
            <a:ext uri="{147F2762-F138-4A5C-976F-8EAC2B608ADB}">
              <a16:predDERef xmlns:a16="http://schemas.microsoft.com/office/drawing/2014/main" pred="{2FB62842-4C2F-4945-9F61-8B15D1D910D7}"/>
            </a:ext>
          </a:extLst>
        </xdr:cNvPr>
        <xdr:cNvSpPr/>
      </xdr:nvSpPr>
      <xdr:spPr>
        <a:xfrm>
          <a:off x="233116" y="1021500"/>
          <a:ext cx="1310002" cy="1017045"/>
        </a:xfrm>
        <a:prstGeom prst="rect">
          <a:avLst/>
        </a:prstGeom>
        <a:solidFill>
          <a:srgbClr val="FFDB8E"/>
        </a:solidFill>
        <a:ln w="19050">
          <a:solidFill>
            <a:srgbClr val="172C51"/>
          </a:solidFill>
        </a:ln>
      </xdr:spPr>
      <xdr:style>
        <a:lnRef idx="2">
          <a:schemeClr val="accent5">
            <a:shade val="15000"/>
          </a:schemeClr>
        </a:lnRef>
        <a:fillRef idx="1">
          <a:schemeClr val="accent5"/>
        </a:fillRef>
        <a:effectRef idx="0">
          <a:schemeClr val="accent5"/>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indent="0" algn="ctr"/>
          <a:r>
            <a:rPr lang="en-GB" sz="1050">
              <a:solidFill>
                <a:schemeClr val="tx1"/>
              </a:solidFill>
              <a:latin typeface="+mn-lt"/>
              <a:ea typeface="+mn-ea"/>
              <a:cs typeface="+mn-cs"/>
            </a:rPr>
            <a:t>Water_Totex</a:t>
          </a:r>
        </a:p>
      </xdr:txBody>
    </xdr:sp>
    <xdr:clientData/>
  </xdr:twoCellAnchor>
  <xdr:twoCellAnchor>
    <xdr:from>
      <xdr:col>15</xdr:col>
      <xdr:colOff>102981</xdr:colOff>
      <xdr:row>13</xdr:row>
      <xdr:rowOff>251732</xdr:rowOff>
    </xdr:from>
    <xdr:to>
      <xdr:col>16</xdr:col>
      <xdr:colOff>1269432</xdr:colOff>
      <xdr:row>17</xdr:row>
      <xdr:rowOff>145995</xdr:rowOff>
    </xdr:to>
    <xdr:sp macro="" textlink="">
      <xdr:nvSpPr>
        <xdr:cNvPr id="66" name="Rectangle 35">
          <a:extLst>
            <a:ext uri="{FF2B5EF4-FFF2-40B4-BE49-F238E27FC236}">
              <a16:creationId xmlns:a16="http://schemas.microsoft.com/office/drawing/2014/main" id="{6BA010B1-F2DF-428E-ADF1-4BD2C0AA4BEE}"/>
            </a:ext>
            <a:ext uri="{147F2762-F138-4A5C-976F-8EAC2B608ADB}">
              <a16:predDERef xmlns:a16="http://schemas.microsoft.com/office/drawing/2014/main" pred="{2FB62842-4C2F-4945-9F61-8B15D1D910D7}"/>
            </a:ext>
          </a:extLst>
        </xdr:cNvPr>
        <xdr:cNvSpPr/>
      </xdr:nvSpPr>
      <xdr:spPr>
        <a:xfrm>
          <a:off x="6467722" y="3677331"/>
          <a:ext cx="1336541" cy="928405"/>
        </a:xfrm>
        <a:prstGeom prst="rect">
          <a:avLst/>
        </a:prstGeom>
        <a:solidFill>
          <a:srgbClr val="FFDB8E"/>
        </a:solidFill>
        <a:ln w="19050">
          <a:solidFill>
            <a:srgbClr val="172C51"/>
          </a:solidFill>
        </a:ln>
      </xdr:spPr>
      <xdr:style>
        <a:lnRef idx="2">
          <a:schemeClr val="accent5">
            <a:shade val="15000"/>
          </a:schemeClr>
        </a:lnRef>
        <a:fillRef idx="1">
          <a:schemeClr val="accent5"/>
        </a:fillRef>
        <a:effectRef idx="0">
          <a:schemeClr val="accent5"/>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indent="0" algn="ctr"/>
          <a:r>
            <a:rPr lang="en-GB" sz="1050">
              <a:solidFill>
                <a:schemeClr val="tx1"/>
              </a:solidFill>
              <a:latin typeface="+mn-lt"/>
              <a:ea typeface="+mn-ea"/>
              <a:cs typeface="+mn-cs"/>
            </a:rPr>
            <a:t>Final Input</a:t>
          </a:r>
        </a:p>
      </xdr:txBody>
    </xdr:sp>
    <xdr:clientData/>
  </xdr:twoCellAnchor>
  <xdr:twoCellAnchor>
    <xdr:from>
      <xdr:col>15</xdr:col>
      <xdr:colOff>115093</xdr:colOff>
      <xdr:row>19</xdr:row>
      <xdr:rowOff>31749</xdr:rowOff>
    </xdr:from>
    <xdr:to>
      <xdr:col>16</xdr:col>
      <xdr:colOff>1281067</xdr:colOff>
      <xdr:row>22</xdr:row>
      <xdr:rowOff>230531</xdr:rowOff>
    </xdr:to>
    <xdr:sp macro="" textlink="">
      <xdr:nvSpPr>
        <xdr:cNvPr id="143" name="Rectangle 46">
          <a:extLst>
            <a:ext uri="{FF2B5EF4-FFF2-40B4-BE49-F238E27FC236}">
              <a16:creationId xmlns:a16="http://schemas.microsoft.com/office/drawing/2014/main" id="{6E832DC5-AD69-44F0-A72C-614B3AE5E079}"/>
            </a:ext>
          </a:extLst>
        </xdr:cNvPr>
        <xdr:cNvSpPr/>
      </xdr:nvSpPr>
      <xdr:spPr>
        <a:xfrm>
          <a:off x="6473031" y="4996656"/>
          <a:ext cx="1336630" cy="972688"/>
        </a:xfrm>
        <a:prstGeom prst="rect">
          <a:avLst/>
        </a:prstGeom>
        <a:solidFill>
          <a:srgbClr val="CCCCCE"/>
        </a:solidFill>
        <a:ln w="19050">
          <a:solidFill>
            <a:srgbClr val="172C51"/>
          </a:solidFill>
        </a:ln>
      </xdr:spPr>
      <xdr:style>
        <a:lnRef idx="2">
          <a:schemeClr val="accent5">
            <a:shade val="15000"/>
          </a:schemeClr>
        </a:lnRef>
        <a:fillRef idx="1">
          <a:schemeClr val="accent5"/>
        </a:fillRef>
        <a:effectRef idx="0">
          <a:schemeClr val="accent5"/>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indent="0" algn="ctr"/>
          <a:r>
            <a:rPr lang="en-GB" sz="1050">
              <a:solidFill>
                <a:schemeClr val="tx1"/>
              </a:solidFill>
              <a:latin typeface="+mn-lt"/>
              <a:ea typeface="+mn-ea"/>
              <a:cs typeface="+mn-cs"/>
            </a:rPr>
            <a:t>Final Development Costs Split</a:t>
          </a:r>
        </a:p>
      </xdr:txBody>
    </xdr:sp>
    <xdr:clientData/>
  </xdr:twoCellAnchor>
  <xdr:twoCellAnchor>
    <xdr:from>
      <xdr:col>16</xdr:col>
      <xdr:colOff>1639093</xdr:colOff>
      <xdr:row>19</xdr:row>
      <xdr:rowOff>29766</xdr:rowOff>
    </xdr:from>
    <xdr:to>
      <xdr:col>17</xdr:col>
      <xdr:colOff>931817</xdr:colOff>
      <xdr:row>22</xdr:row>
      <xdr:rowOff>228548</xdr:rowOff>
    </xdr:to>
    <xdr:sp macro="" textlink="">
      <xdr:nvSpPr>
        <xdr:cNvPr id="231" name="Rectangle 46">
          <a:extLst>
            <a:ext uri="{FF2B5EF4-FFF2-40B4-BE49-F238E27FC236}">
              <a16:creationId xmlns:a16="http://schemas.microsoft.com/office/drawing/2014/main" id="{8CAB5ABF-F1AF-48A8-BBB9-5521CBEFF8F8}"/>
            </a:ext>
          </a:extLst>
        </xdr:cNvPr>
        <xdr:cNvSpPr/>
      </xdr:nvSpPr>
      <xdr:spPr>
        <a:xfrm>
          <a:off x="8172648" y="4961930"/>
          <a:ext cx="1334646" cy="966736"/>
        </a:xfrm>
        <a:prstGeom prst="rect">
          <a:avLst/>
        </a:prstGeom>
        <a:solidFill>
          <a:srgbClr val="CCCCCE"/>
        </a:solidFill>
        <a:ln w="19050">
          <a:solidFill>
            <a:srgbClr val="172C51"/>
          </a:solidFill>
        </a:ln>
      </xdr:spPr>
      <xdr:style>
        <a:lnRef idx="2">
          <a:schemeClr val="accent5">
            <a:shade val="15000"/>
          </a:schemeClr>
        </a:lnRef>
        <a:fillRef idx="1">
          <a:schemeClr val="accent5"/>
        </a:fillRef>
        <a:effectRef idx="0">
          <a:schemeClr val="accent5"/>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indent="0" algn="ctr"/>
          <a:r>
            <a:rPr lang="en-GB" sz="1050">
              <a:solidFill>
                <a:schemeClr val="tx1"/>
              </a:solidFill>
              <a:latin typeface="+mn-lt"/>
              <a:ea typeface="+mn-ea"/>
              <a:cs typeface="+mn-cs"/>
            </a:rPr>
            <a:t>DPC and SIPR Cost Calculations</a:t>
          </a:r>
        </a:p>
      </xdr:txBody>
    </xdr:sp>
    <xdr:clientData/>
  </xdr:twoCellAnchor>
  <xdr:twoCellAnchor>
    <xdr:from>
      <xdr:col>17</xdr:col>
      <xdr:colOff>1330523</xdr:colOff>
      <xdr:row>19</xdr:row>
      <xdr:rowOff>23811</xdr:rowOff>
    </xdr:from>
    <xdr:to>
      <xdr:col>17</xdr:col>
      <xdr:colOff>2667153</xdr:colOff>
      <xdr:row>22</xdr:row>
      <xdr:rowOff>222593</xdr:rowOff>
    </xdr:to>
    <xdr:sp macro="" textlink="">
      <xdr:nvSpPr>
        <xdr:cNvPr id="232" name="Rectangle 46">
          <a:extLst>
            <a:ext uri="{FF2B5EF4-FFF2-40B4-BE49-F238E27FC236}">
              <a16:creationId xmlns:a16="http://schemas.microsoft.com/office/drawing/2014/main" id="{9C425E9D-5B5B-4D3A-8CFA-3A4DAF5EBF80}"/>
            </a:ext>
          </a:extLst>
        </xdr:cNvPr>
        <xdr:cNvSpPr/>
      </xdr:nvSpPr>
      <xdr:spPr>
        <a:xfrm>
          <a:off x="9906000" y="4955975"/>
          <a:ext cx="1336630" cy="966736"/>
        </a:xfrm>
        <a:prstGeom prst="rect">
          <a:avLst/>
        </a:prstGeom>
        <a:solidFill>
          <a:srgbClr val="CCCCCE"/>
        </a:solidFill>
        <a:ln w="19050">
          <a:solidFill>
            <a:srgbClr val="172C51"/>
          </a:solidFill>
        </a:ln>
      </xdr:spPr>
      <xdr:style>
        <a:lnRef idx="2">
          <a:schemeClr val="accent5">
            <a:shade val="15000"/>
          </a:schemeClr>
        </a:lnRef>
        <a:fillRef idx="1">
          <a:schemeClr val="accent5"/>
        </a:fillRef>
        <a:effectRef idx="0">
          <a:schemeClr val="accent5"/>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indent="0" algn="ctr"/>
          <a:r>
            <a:rPr lang="en-GB" sz="1050">
              <a:solidFill>
                <a:schemeClr val="tx1"/>
              </a:solidFill>
              <a:latin typeface="+mn-lt"/>
              <a:ea typeface="+mn-ea"/>
              <a:cs typeface="+mn-cs"/>
            </a:rPr>
            <a:t>Development Cost Calculations</a:t>
          </a:r>
        </a:p>
      </xdr:txBody>
    </xdr:sp>
    <xdr:clientData/>
  </xdr:twoCellAnchor>
  <xdr:twoCellAnchor>
    <xdr:from>
      <xdr:col>6</xdr:col>
      <xdr:colOff>25287</xdr:colOff>
      <xdr:row>7</xdr:row>
      <xdr:rowOff>143296</xdr:rowOff>
    </xdr:from>
    <xdr:to>
      <xdr:col>6</xdr:col>
      <xdr:colOff>26126</xdr:colOff>
      <xdr:row>9</xdr:row>
      <xdr:rowOff>23851</xdr:rowOff>
    </xdr:to>
    <xdr:cxnSp macro="">
      <xdr:nvCxnSpPr>
        <xdr:cNvPr id="238" name="Straight Arrow Connector 39">
          <a:extLst>
            <a:ext uri="{FF2B5EF4-FFF2-40B4-BE49-F238E27FC236}">
              <a16:creationId xmlns:a16="http://schemas.microsoft.com/office/drawing/2014/main" id="{B5991A3E-B6D2-4516-896D-4B046811535D}"/>
            </a:ext>
          </a:extLst>
        </xdr:cNvPr>
        <xdr:cNvCxnSpPr>
          <a:cxnSpLocks/>
        </xdr:cNvCxnSpPr>
      </xdr:nvCxnSpPr>
      <xdr:spPr>
        <a:xfrm>
          <a:off x="859778" y="2039867"/>
          <a:ext cx="839" cy="40316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132292</xdr:colOff>
      <xdr:row>24</xdr:row>
      <xdr:rowOff>111126</xdr:rowOff>
    </xdr:from>
    <xdr:to>
      <xdr:col>16</xdr:col>
      <xdr:colOff>1281907</xdr:colOff>
      <xdr:row>28</xdr:row>
      <xdr:rowOff>108737</xdr:rowOff>
    </xdr:to>
    <xdr:sp macro="" textlink="">
      <xdr:nvSpPr>
        <xdr:cNvPr id="257" name="Rectangle 3">
          <a:extLst>
            <a:ext uri="{FF2B5EF4-FFF2-40B4-BE49-F238E27FC236}">
              <a16:creationId xmlns:a16="http://schemas.microsoft.com/office/drawing/2014/main" id="{ED4FF904-8333-4CBE-BEA5-7DE1FB3D6CC5}"/>
            </a:ext>
            <a:ext uri="{147F2762-F138-4A5C-976F-8EAC2B608ADB}">
              <a16:predDERef xmlns:a16="http://schemas.microsoft.com/office/drawing/2014/main" pred="{DEB0D8AE-3D0C-4F4F-898A-6219006E1000}"/>
            </a:ext>
          </a:extLst>
        </xdr:cNvPr>
        <xdr:cNvSpPr/>
      </xdr:nvSpPr>
      <xdr:spPr>
        <a:xfrm>
          <a:off x="6482292" y="6397626"/>
          <a:ext cx="1318948" cy="1034778"/>
        </a:xfrm>
        <a:prstGeom prst="rect">
          <a:avLst/>
        </a:prstGeom>
        <a:solidFill>
          <a:srgbClr val="98C561"/>
        </a:solidFill>
        <a:ln w="19050">
          <a:solidFill>
            <a:srgbClr val="172C51"/>
          </a:solidFill>
        </a:ln>
      </xdr:spPr>
      <xdr:style>
        <a:lnRef idx="2">
          <a:schemeClr val="accent5">
            <a:shade val="15000"/>
          </a:schemeClr>
        </a:lnRef>
        <a:fillRef idx="1">
          <a:schemeClr val="accent5"/>
        </a:fillRef>
        <a:effectRef idx="0">
          <a:schemeClr val="accent5"/>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indent="0" algn="ctr"/>
          <a:r>
            <a:rPr lang="en-GB" sz="1050">
              <a:solidFill>
                <a:schemeClr val="tx1"/>
              </a:solidFill>
              <a:latin typeface="+mn-lt"/>
              <a:ea typeface="+mn-ea"/>
              <a:cs typeface="+mn-cs"/>
            </a:rPr>
            <a:t>RAPID Gate Costs</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94A3C68-5F81-4EE3-A829-DB2481E05140}" name="Table2" displayName="Table2" ref="B28:C44" totalsRowShown="0" headerRowDxfId="3" dataDxfId="2" headerRowCellStyle="Normal 2" dataCellStyle="Normal 2">
  <autoFilter ref="B28:C44" xr:uid="{FEF77FAD-B650-49CD-8044-E64A79EDAC1E}"/>
  <tableColumns count="2">
    <tableColumn id="1" xr3:uid="{7C0F50D3-177D-45D7-ABB1-016972DE76D2}" name="Tab name" dataDxfId="1" dataCellStyle="Normal 2"/>
    <tableColumn id="2" xr3:uid="{98403326-5DED-4943-9B23-0B870FCC080E}" name="Description" dataDxfId="0" dataCellStyle="Normal 2"/>
  </tableColumns>
  <tableStyleInfo name="TableStyleMedium9" showFirstColumn="0" showLastColumn="0" showRowStripes="1" showColumnStripes="0"/>
</table>
</file>

<file path=xl/theme/theme1.xml><?xml version="1.0" encoding="utf-8"?>
<a:theme xmlns:a="http://schemas.openxmlformats.org/drawingml/2006/main" name="Ofwat">
  <a:themeElements>
    <a:clrScheme name="Ofwat">
      <a:dk1>
        <a:sysClr val="windowText" lastClr="000000"/>
      </a:dk1>
      <a:lt1>
        <a:sysClr val="window" lastClr="FFFFFF"/>
      </a:lt1>
      <a:dk2>
        <a:srgbClr val="003595"/>
      </a:dk2>
      <a:lt2>
        <a:srgbClr val="DCECF5"/>
      </a:lt2>
      <a:accent1>
        <a:srgbClr val="0071CE"/>
      </a:accent1>
      <a:accent2>
        <a:srgbClr val="63656A"/>
      </a:accent2>
      <a:accent3>
        <a:srgbClr val="FFB81D"/>
      </a:accent3>
      <a:accent4>
        <a:srgbClr val="62A70F"/>
      </a:accent4>
      <a:accent5>
        <a:srgbClr val="FF8772"/>
      </a:accent5>
      <a:accent6>
        <a:srgbClr val="D60037"/>
      </a:accent6>
      <a:hlink>
        <a:srgbClr val="0071CE"/>
      </a:hlink>
      <a:folHlink>
        <a:srgbClr val="94368D"/>
      </a:folHlink>
    </a:clrScheme>
    <a:fontScheme name="Ofwat">
      <a:majorFont>
        <a:latin typeface="Krub SemiBold"/>
        <a:ea typeface=""/>
        <a:cs typeface=""/>
      </a:majorFont>
      <a:minorFont>
        <a:latin typeface="Krub"/>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extLst>
    <a:ext uri="{05A4C25C-085E-4340-85A3-A5531E510DB2}">
      <thm15:themeFamily xmlns:thm15="http://schemas.microsoft.com/office/thememl/2012/main" name="Ofwat 2016" id="{A420DE61-A4E8-4DB5-890E-1E2F09860D19}" vid="{7B41E948-0C9A-4054-BED8-27FCA73304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PR24@ofwat.gov.uk" TargetMode="Externa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1E58A0-70C5-4378-8419-9F0AAE50BDFC}">
  <sheetPr>
    <tabColor rgb="FFCCCCCE"/>
    <outlinePr summaryBelow="0" summaryRight="0"/>
  </sheetPr>
  <dimension ref="A1:AN110"/>
  <sheetViews>
    <sheetView showGridLines="0" tabSelected="1" zoomScale="80" zoomScaleNormal="80" workbookViewId="0"/>
  </sheetViews>
  <sheetFormatPr defaultColWidth="0" defaultRowHeight="13.5" customHeight="1" zeroHeight="1"/>
  <cols>
    <col min="1" max="1" width="8.140625" style="189" customWidth="1"/>
    <col min="2" max="2" width="49" style="189" customWidth="1"/>
    <col min="3" max="3" width="197.85546875" style="189" customWidth="1"/>
    <col min="4" max="4" width="27.5703125" style="189" customWidth="1"/>
    <col min="5" max="10" width="0" style="189" hidden="1" customWidth="1"/>
    <col min="11" max="16384" width="8.5703125" style="189" hidden="1"/>
  </cols>
  <sheetData>
    <row r="1" spans="1:40" s="209" customFormat="1" ht="32.65" customHeight="1">
      <c r="A1" s="210" t="e">
        <f ca="1" xml:space="preserve"> RIGHT(CELL("filename", A1), LEN(CELL("filename", A1)) - SEARCH("]", CELL("filename", A1)))</f>
        <v>#VALUE!</v>
      </c>
      <c r="B1" s="210"/>
      <c r="C1" s="210"/>
      <c r="D1" s="210"/>
      <c r="E1" s="210"/>
      <c r="F1" s="210"/>
      <c r="G1" s="210"/>
      <c r="H1" s="210"/>
      <c r="I1" s="210"/>
      <c r="J1" s="210"/>
      <c r="K1" s="210"/>
      <c r="L1" s="210"/>
      <c r="M1" s="210"/>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row>
    <row r="2" spans="1:40" s="190" customFormat="1" ht="15.75"/>
    <row r="3" spans="1:40" s="190" customFormat="1" ht="15.75">
      <c r="B3" s="191" t="s">
        <v>0</v>
      </c>
    </row>
    <row r="4" spans="1:40" s="190" customFormat="1" ht="15.75"/>
    <row r="5" spans="1:40" s="190" customFormat="1" ht="15.75">
      <c r="B5" s="190" t="s">
        <v>1</v>
      </c>
      <c r="C5" s="190" t="s">
        <v>2</v>
      </c>
    </row>
    <row r="6" spans="1:40" s="190" customFormat="1" ht="15.75">
      <c r="B6" s="190" t="s">
        <v>3</v>
      </c>
      <c r="C6" s="192">
        <v>2</v>
      </c>
    </row>
    <row r="7" spans="1:40" s="190" customFormat="1" ht="15.75">
      <c r="B7" s="190" t="s">
        <v>4</v>
      </c>
      <c r="C7" s="324" t="e">
        <f ca="1">MID(CELL("filename"), FIND("[", CELL("filename"), 1) + 1, FIND("]", CELL("filename"), 1) - FIND("[", CELL("filename"), 1) - 1)</f>
        <v>#VALUE!</v>
      </c>
    </row>
    <row r="8" spans="1:40" s="190" customFormat="1" ht="15.75">
      <c r="B8" s="190" t="s">
        <v>5</v>
      </c>
      <c r="C8" s="193">
        <v>45627</v>
      </c>
    </row>
    <row r="9" spans="1:40" s="190" customFormat="1" ht="15.75"/>
    <row r="10" spans="1:40" s="190" customFormat="1" ht="15.75">
      <c r="B10" s="190" t="s">
        <v>6</v>
      </c>
      <c r="C10" s="194" t="s">
        <v>7</v>
      </c>
    </row>
    <row r="11" spans="1:40" s="190" customFormat="1" ht="15.75"/>
    <row r="12" spans="1:40" s="190" customFormat="1" ht="15.75">
      <c r="C12" s="195"/>
    </row>
    <row r="13" spans="1:40" s="190" customFormat="1" ht="15.75">
      <c r="C13" s="195"/>
    </row>
    <row r="14" spans="1:40" s="190" customFormat="1" ht="15.75">
      <c r="C14" s="195"/>
    </row>
    <row r="15" spans="1:40" s="190" customFormat="1" ht="15.75"/>
    <row r="16" spans="1:40" s="190" customFormat="1" ht="15.75"/>
    <row r="17" spans="2:3" s="190" customFormat="1" ht="15.75"/>
    <row r="18" spans="2:3" s="190" customFormat="1" ht="15.75"/>
    <row r="19" spans="2:3" s="190" customFormat="1" ht="15.75"/>
    <row r="20" spans="2:3" s="190" customFormat="1" ht="15.75"/>
    <row r="21" spans="2:3" s="190" customFormat="1" ht="15.75"/>
    <row r="22" spans="2:3" s="190" customFormat="1" ht="15.75"/>
    <row r="23" spans="2:3" s="190" customFormat="1" ht="15.75"/>
    <row r="24" spans="2:3" s="190" customFormat="1" ht="15.75"/>
    <row r="25" spans="2:3" s="190" customFormat="1" ht="15.75"/>
    <row r="26" spans="2:3" s="190" customFormat="1" ht="15.75">
      <c r="B26" s="196" t="s">
        <v>8</v>
      </c>
    </row>
    <row r="27" spans="2:3" s="190" customFormat="1" ht="15.75"/>
    <row r="28" spans="2:3" s="198" customFormat="1" ht="27" customHeight="1">
      <c r="B28" s="197" t="s">
        <v>9</v>
      </c>
      <c r="C28" s="197" t="s">
        <v>10</v>
      </c>
    </row>
    <row r="29" spans="2:3" s="201" customFormat="1" ht="27" customHeight="1">
      <c r="B29" s="199" t="s">
        <v>11</v>
      </c>
      <c r="C29" s="200" t="s">
        <v>12</v>
      </c>
    </row>
    <row r="30" spans="2:3" s="201" customFormat="1" ht="27" customHeight="1">
      <c r="B30" s="199" t="s">
        <v>13</v>
      </c>
      <c r="C30" s="200" t="s">
        <v>14</v>
      </c>
    </row>
    <row r="31" spans="2:3" s="201" customFormat="1" ht="27" customHeight="1">
      <c r="B31" s="202" t="s">
        <v>15</v>
      </c>
      <c r="C31" s="203" t="s">
        <v>16</v>
      </c>
    </row>
    <row r="32" spans="2:3" s="201" customFormat="1" ht="27" customHeight="1">
      <c r="B32" s="199" t="s">
        <v>17</v>
      </c>
      <c r="C32" s="200" t="s">
        <v>18</v>
      </c>
    </row>
    <row r="33" spans="2:3" s="201" customFormat="1" ht="27" customHeight="1">
      <c r="B33" s="199" t="s">
        <v>19</v>
      </c>
      <c r="C33" s="200" t="s">
        <v>20</v>
      </c>
    </row>
    <row r="34" spans="2:3" s="201" customFormat="1" ht="27" customHeight="1">
      <c r="B34" s="199" t="s">
        <v>21</v>
      </c>
      <c r="C34" s="200" t="s">
        <v>22</v>
      </c>
    </row>
    <row r="35" spans="2:3" s="201" customFormat="1" ht="27" customHeight="1">
      <c r="B35" s="199" t="s">
        <v>23</v>
      </c>
      <c r="C35" s="200" t="s">
        <v>24</v>
      </c>
    </row>
    <row r="36" spans="2:3" s="201" customFormat="1" ht="27" customHeight="1">
      <c r="B36" s="199" t="s">
        <v>25</v>
      </c>
      <c r="C36" s="200" t="s">
        <v>26</v>
      </c>
    </row>
    <row r="37" spans="2:3" s="201" customFormat="1" ht="27" customHeight="1">
      <c r="B37" s="199" t="s">
        <v>27</v>
      </c>
      <c r="C37" s="200" t="s">
        <v>28</v>
      </c>
    </row>
    <row r="38" spans="2:3" s="201" customFormat="1" ht="27" customHeight="1">
      <c r="B38" s="202" t="s">
        <v>29</v>
      </c>
      <c r="C38" s="203" t="s">
        <v>30</v>
      </c>
    </row>
    <row r="39" spans="2:3" s="201" customFormat="1" ht="27" customHeight="1">
      <c r="B39" s="202" t="s">
        <v>31</v>
      </c>
      <c r="C39" s="203" t="s">
        <v>32</v>
      </c>
    </row>
    <row r="40" spans="2:3" s="201" customFormat="1" ht="27" customHeight="1">
      <c r="B40" s="202" t="s">
        <v>33</v>
      </c>
      <c r="C40" s="200" t="s">
        <v>34</v>
      </c>
    </row>
    <row r="41" spans="2:3" s="201" customFormat="1" ht="27" customHeight="1">
      <c r="B41" s="199" t="s">
        <v>35</v>
      </c>
      <c r="C41" s="200" t="s">
        <v>36</v>
      </c>
    </row>
    <row r="42" spans="2:3" s="201" customFormat="1" ht="27" customHeight="1">
      <c r="B42" s="202" t="s">
        <v>37</v>
      </c>
      <c r="C42" s="203" t="s">
        <v>38</v>
      </c>
    </row>
    <row r="43" spans="2:3" s="201" customFormat="1" ht="27" customHeight="1">
      <c r="B43" s="199" t="s">
        <v>39</v>
      </c>
      <c r="C43" s="200" t="s">
        <v>40</v>
      </c>
    </row>
    <row r="44" spans="2:3" s="206" customFormat="1" ht="27" customHeight="1">
      <c r="B44" s="204" t="s">
        <v>41</v>
      </c>
      <c r="C44" s="205" t="s">
        <v>42</v>
      </c>
    </row>
    <row r="45" spans="2:3" ht="13.5" customHeight="1">
      <c r="C45" s="189" t="s">
        <v>43</v>
      </c>
    </row>
    <row r="46" spans="2:3" ht="13.5" customHeight="1"/>
    <row r="47" spans="2:3" ht="13.5" customHeight="1"/>
    <row r="48" spans="2:3"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sheetData>
  <hyperlinks>
    <hyperlink ref="C10" r:id="rId1" xr:uid="{02935F1C-583B-4993-8F7A-2D41EA6469BD}"/>
  </hyperlinks>
  <pageMargins left="0.7" right="0.7" top="0.75" bottom="0.75" header="0.3" footer="0.3"/>
  <pageSetup paperSize="9" orientation="portrait" r:id="rId2"/>
  <drawing r:id="rId3"/>
  <tableParts count="1">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DBA2D3-3849-4B6F-B697-E5E43BE7CE22}">
  <sheetPr>
    <tabColor rgb="FFCCCCCE"/>
    <outlinePr summaryBelow="0" summaryRight="0"/>
  </sheetPr>
  <dimension ref="A1:AN55"/>
  <sheetViews>
    <sheetView showGridLines="0" zoomScale="80" zoomScaleNormal="80" zoomScaleSheetLayoutView="80" workbookViewId="0"/>
  </sheetViews>
  <sheetFormatPr defaultColWidth="0" defaultRowHeight="12.95" customHeight="1" zeroHeight="1"/>
  <cols>
    <col min="1" max="4" width="1.28515625" style="66" customWidth="1"/>
    <col min="5" max="5" width="2.42578125" style="66" customWidth="1"/>
    <col min="6" max="6" width="4.140625" style="66" customWidth="1"/>
    <col min="7" max="7" width="2.42578125" style="66" customWidth="1"/>
    <col min="8" max="8" width="28.5703125" style="66" customWidth="1"/>
    <col min="9" max="9" width="2.42578125" style="66" customWidth="1"/>
    <col min="10" max="10" width="4.140625" style="66" customWidth="1"/>
    <col min="11" max="11" width="2.42578125" style="66" customWidth="1"/>
    <col min="12" max="12" width="28.5703125" style="66" customWidth="1"/>
    <col min="13" max="13" width="2.42578125" style="66" customWidth="1"/>
    <col min="14" max="14" width="4.140625" style="66" customWidth="1"/>
    <col min="15" max="16" width="2.42578125" style="66" customWidth="1"/>
    <col min="17" max="17" width="28.5703125" style="66" customWidth="1"/>
    <col min="18" max="18" width="45.28515625" style="66" customWidth="1"/>
    <col min="19" max="20" width="2.42578125" style="66" hidden="1" customWidth="1"/>
    <col min="21" max="21" width="4.140625" style="66" hidden="1" customWidth="1"/>
    <col min="22" max="22" width="2.42578125" style="66" hidden="1" customWidth="1"/>
    <col min="23" max="23" width="28.5703125" style="66" hidden="1" customWidth="1"/>
    <col min="24" max="24" width="2.42578125" style="66" hidden="1" customWidth="1"/>
    <col min="25" max="25" width="4.140625" style="66" hidden="1" customWidth="1"/>
    <col min="26" max="26" width="2.42578125" style="66" hidden="1" customWidth="1"/>
    <col min="27" max="27" width="28.5703125" style="66" hidden="1" customWidth="1"/>
    <col min="28" max="28" width="2.42578125" style="66" hidden="1" customWidth="1"/>
    <col min="29" max="29" width="4.140625" style="66" hidden="1" customWidth="1"/>
    <col min="30" max="30" width="5.140625" style="66" hidden="1" customWidth="1"/>
    <col min="31" max="32" width="2.42578125" style="66" hidden="1" customWidth="1"/>
    <col min="33" max="33" width="28.5703125" style="66" hidden="1" customWidth="1"/>
    <col min="34" max="34" width="2.42578125" style="66" hidden="1" customWidth="1"/>
    <col min="35" max="35" width="5.140625" style="66" hidden="1" customWidth="1"/>
    <col min="36" max="36" width="2.42578125" style="66" hidden="1" customWidth="1"/>
    <col min="37" max="37" width="28.5703125" style="66" hidden="1" customWidth="1"/>
    <col min="38" max="39" width="2.42578125" style="66" hidden="1" customWidth="1"/>
    <col min="40" max="50" width="6.5703125" style="47" hidden="1" customWidth="1"/>
    <col min="51" max="16384" width="6.5703125" style="47" hidden="1"/>
  </cols>
  <sheetData>
    <row r="1" spans="1:40" s="209" customFormat="1" ht="32.85" customHeight="1">
      <c r="A1" s="210" t="e">
        <f ca="1" xml:space="preserve"> RIGHT(CELL("filename", A1), LEN(CELL("filename", A1)) - SEARCH("]", CELL("filename", A1)))</f>
        <v>#VALUE!</v>
      </c>
      <c r="B1" s="210"/>
      <c r="C1" s="210"/>
      <c r="D1" s="210"/>
      <c r="E1" s="210"/>
      <c r="F1" s="210"/>
      <c r="G1" s="210"/>
      <c r="H1" s="210"/>
      <c r="I1" s="210"/>
      <c r="J1" s="210"/>
      <c r="K1" s="210"/>
      <c r="L1" s="210"/>
      <c r="M1" s="210"/>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row>
    <row r="2" spans="1:40" ht="20.25">
      <c r="A2" s="48"/>
      <c r="B2" s="49"/>
      <c r="C2" s="50"/>
      <c r="D2" s="50"/>
      <c r="E2" s="50"/>
      <c r="F2" s="50"/>
      <c r="G2" s="50"/>
      <c r="H2" s="51"/>
      <c r="I2" s="50"/>
      <c r="J2" s="50"/>
      <c r="K2" s="50"/>
      <c r="L2" s="50"/>
      <c r="M2" s="50"/>
      <c r="N2" s="50"/>
      <c r="O2" s="50"/>
      <c r="P2" s="50"/>
      <c r="Q2" s="50"/>
      <c r="R2" s="49"/>
      <c r="S2" s="49"/>
      <c r="T2" s="49"/>
      <c r="U2" s="49"/>
      <c r="V2" s="49"/>
      <c r="W2" s="49"/>
      <c r="X2" s="49"/>
      <c r="Y2" s="49"/>
      <c r="Z2" s="49"/>
      <c r="AA2" s="49"/>
      <c r="AB2" s="49"/>
      <c r="AC2" s="49"/>
      <c r="AD2" s="49"/>
      <c r="AE2" s="49"/>
      <c r="AF2" s="49"/>
      <c r="AG2" s="49"/>
      <c r="AH2" s="49"/>
      <c r="AI2" s="49"/>
      <c r="AJ2" s="49"/>
      <c r="AK2" s="49"/>
      <c r="AL2" s="49"/>
      <c r="AM2" s="49"/>
    </row>
    <row r="3" spans="1:40" s="52" customFormat="1" ht="13.15">
      <c r="A3" s="52" t="s">
        <v>44</v>
      </c>
    </row>
    <row r="4" spans="1:40" ht="20.25">
      <c r="A4" s="48"/>
      <c r="B4" s="49"/>
      <c r="C4" s="50"/>
      <c r="D4" s="50"/>
      <c r="E4" s="50"/>
      <c r="F4" s="50"/>
      <c r="G4" s="50"/>
      <c r="H4" s="51"/>
      <c r="I4" s="50"/>
      <c r="J4" s="50"/>
      <c r="K4" s="50"/>
      <c r="L4" s="50"/>
      <c r="M4" s="50"/>
      <c r="N4" s="50"/>
      <c r="O4" s="50"/>
      <c r="P4" s="50"/>
      <c r="Q4" s="50"/>
      <c r="R4" s="49"/>
      <c r="S4" s="49"/>
      <c r="T4" s="49"/>
      <c r="U4" s="49"/>
      <c r="V4" s="49"/>
      <c r="W4" s="49"/>
      <c r="X4" s="49"/>
      <c r="Y4" s="49"/>
      <c r="Z4" s="49"/>
      <c r="AA4" s="49"/>
      <c r="AB4" s="49"/>
      <c r="AC4" s="49"/>
      <c r="AD4" s="49"/>
      <c r="AE4" s="49"/>
      <c r="AF4" s="49"/>
      <c r="AG4" s="49"/>
      <c r="AH4" s="49"/>
      <c r="AI4" s="49"/>
      <c r="AJ4" s="49"/>
      <c r="AK4" s="49"/>
      <c r="AL4" s="49"/>
      <c r="AM4" s="49"/>
    </row>
    <row r="5" spans="1:40" ht="20.25">
      <c r="A5" s="53"/>
      <c r="B5" s="54"/>
      <c r="C5" s="55"/>
      <c r="D5" s="55"/>
      <c r="E5" s="55"/>
      <c r="F5" s="56"/>
      <c r="G5" s="57"/>
      <c r="H5" s="57"/>
      <c r="I5" s="57"/>
      <c r="J5" s="57"/>
      <c r="K5" s="58"/>
      <c r="L5" s="56"/>
      <c r="M5" s="58"/>
      <c r="N5" s="58"/>
      <c r="O5" s="58"/>
      <c r="P5" s="57"/>
      <c r="Q5" s="57"/>
      <c r="R5" s="59"/>
      <c r="S5" s="59"/>
      <c r="T5" s="59"/>
      <c r="U5" s="54"/>
      <c r="V5" s="54"/>
      <c r="W5" s="54"/>
      <c r="X5" s="54"/>
      <c r="Y5" s="54"/>
      <c r="Z5" s="54"/>
      <c r="AA5" s="54"/>
      <c r="AB5" s="54"/>
      <c r="AC5" s="54"/>
      <c r="AD5" s="54"/>
      <c r="AE5" s="54"/>
      <c r="AF5" s="54"/>
      <c r="AG5" s="54"/>
      <c r="AH5" s="54"/>
      <c r="AI5" s="54"/>
      <c r="AJ5" s="54"/>
      <c r="AK5" s="54"/>
      <c r="AL5" s="54"/>
      <c r="AM5" s="54"/>
    </row>
    <row r="6" spans="1:40" ht="20.25">
      <c r="A6" s="48"/>
      <c r="B6" s="49"/>
      <c r="C6" s="50"/>
      <c r="D6" s="50"/>
      <c r="E6" s="50"/>
      <c r="F6" s="50"/>
      <c r="G6" s="50"/>
      <c r="H6" s="50"/>
      <c r="I6" s="50"/>
      <c r="J6" s="50"/>
      <c r="K6" s="50"/>
      <c r="L6" s="51"/>
      <c r="M6" s="50"/>
      <c r="N6" s="50"/>
      <c r="O6" s="50"/>
      <c r="P6" s="50"/>
      <c r="Q6" s="50"/>
      <c r="R6" s="49"/>
      <c r="S6" s="49"/>
      <c r="T6" s="49"/>
      <c r="U6" s="49"/>
      <c r="V6" s="49"/>
      <c r="W6" s="49"/>
      <c r="X6" s="49"/>
      <c r="Y6" s="49"/>
      <c r="Z6" s="49"/>
      <c r="AA6" s="49"/>
      <c r="AB6" s="49"/>
      <c r="AC6" s="49"/>
      <c r="AD6" s="49"/>
      <c r="AE6" s="49"/>
      <c r="AF6" s="49"/>
      <c r="AG6" s="49"/>
      <c r="AH6" s="49"/>
      <c r="AI6" s="49"/>
      <c r="AJ6" s="49"/>
      <c r="AK6" s="49"/>
      <c r="AL6" s="49"/>
      <c r="AM6" s="49"/>
    </row>
    <row r="7" spans="1:40" ht="20.25">
      <c r="A7" s="48"/>
      <c r="B7" s="49"/>
      <c r="C7" s="50"/>
      <c r="D7" s="50"/>
      <c r="E7" s="50"/>
      <c r="F7" s="50"/>
      <c r="G7" s="50"/>
      <c r="H7" s="50"/>
      <c r="I7" s="50"/>
      <c r="J7" s="50"/>
      <c r="K7" s="50"/>
      <c r="L7" s="51"/>
      <c r="M7" s="50"/>
      <c r="N7" s="50"/>
      <c r="O7" s="50"/>
      <c r="P7" s="50"/>
      <c r="Q7" s="50"/>
      <c r="R7" s="49"/>
      <c r="S7" s="49"/>
      <c r="T7" s="49"/>
      <c r="U7" s="49"/>
      <c r="V7" s="49"/>
      <c r="W7" s="49"/>
      <c r="X7" s="49"/>
      <c r="Y7" s="49"/>
      <c r="Z7" s="49"/>
      <c r="AA7" s="49"/>
      <c r="AB7" s="49"/>
      <c r="AC7" s="49"/>
      <c r="AD7" s="49"/>
      <c r="AE7" s="49"/>
      <c r="AF7" s="49"/>
      <c r="AG7" s="49"/>
      <c r="AH7" s="49"/>
      <c r="AI7" s="49"/>
      <c r="AJ7" s="49"/>
      <c r="AK7" s="49"/>
      <c r="AL7" s="49"/>
      <c r="AM7" s="49"/>
    </row>
    <row r="8" spans="1:40" ht="20.25">
      <c r="A8" s="48"/>
      <c r="B8" s="49"/>
      <c r="C8" s="50"/>
      <c r="D8" s="50"/>
      <c r="E8" s="50"/>
      <c r="F8" s="50"/>
      <c r="G8" s="50"/>
      <c r="H8" s="60"/>
      <c r="I8" s="50"/>
      <c r="J8" s="50"/>
      <c r="K8" s="50"/>
      <c r="L8" s="51"/>
      <c r="M8" s="50"/>
      <c r="N8" s="50"/>
      <c r="O8" s="50"/>
      <c r="P8" s="50"/>
      <c r="Q8" s="60"/>
      <c r="R8" s="49"/>
      <c r="S8" s="49"/>
      <c r="T8" s="49"/>
      <c r="U8" s="49"/>
      <c r="V8" s="49"/>
      <c r="W8" s="49"/>
      <c r="X8" s="49"/>
      <c r="Y8" s="49"/>
      <c r="Z8" s="49"/>
      <c r="AA8" s="49"/>
      <c r="AB8" s="49"/>
      <c r="AC8" s="49"/>
      <c r="AD8" s="49"/>
      <c r="AE8" s="49"/>
      <c r="AF8" s="49"/>
      <c r="AG8" s="49"/>
      <c r="AH8" s="49"/>
      <c r="AI8" s="49"/>
      <c r="AJ8" s="49"/>
      <c r="AK8" s="49"/>
      <c r="AL8" s="49"/>
      <c r="AM8" s="49"/>
    </row>
    <row r="9" spans="1:40" ht="20.25">
      <c r="A9" s="48"/>
      <c r="B9" s="49"/>
      <c r="C9" s="50"/>
      <c r="D9" s="50"/>
      <c r="E9" s="50"/>
      <c r="F9" s="50"/>
      <c r="G9" s="50"/>
      <c r="H9" s="50"/>
      <c r="I9" s="50"/>
      <c r="J9" s="50"/>
      <c r="K9" s="50"/>
      <c r="L9" s="51"/>
      <c r="M9" s="50"/>
      <c r="N9" s="50"/>
      <c r="O9" s="50"/>
      <c r="P9" s="50"/>
      <c r="Q9" s="50"/>
      <c r="R9" s="49"/>
      <c r="S9" s="49"/>
      <c r="T9" s="49"/>
      <c r="U9" s="49"/>
      <c r="V9" s="49"/>
      <c r="W9" s="49"/>
      <c r="X9" s="49"/>
      <c r="Y9" s="49"/>
      <c r="Z9" s="49"/>
      <c r="AA9" s="49"/>
      <c r="AB9" s="49"/>
      <c r="AC9" s="49"/>
      <c r="AD9" s="49"/>
      <c r="AE9" s="49"/>
      <c r="AF9" s="49"/>
      <c r="AG9" s="49"/>
      <c r="AH9" s="49"/>
      <c r="AI9" s="49"/>
      <c r="AJ9" s="49"/>
      <c r="AK9" s="49"/>
      <c r="AL9" s="49"/>
      <c r="AM9" s="49"/>
    </row>
    <row r="10" spans="1:40" ht="20.25">
      <c r="A10" s="48"/>
      <c r="B10" s="49"/>
      <c r="C10" s="50"/>
      <c r="D10" s="50"/>
      <c r="E10" s="50"/>
      <c r="F10" s="50"/>
      <c r="G10" s="50"/>
      <c r="H10" s="50"/>
      <c r="I10" s="50"/>
      <c r="J10" s="50"/>
      <c r="K10" s="50"/>
      <c r="L10" s="50"/>
      <c r="M10" s="50"/>
      <c r="N10" s="50"/>
      <c r="O10" s="50"/>
      <c r="P10" s="50"/>
      <c r="Q10" s="50"/>
      <c r="R10" s="49"/>
      <c r="S10" s="49"/>
      <c r="T10" s="49"/>
      <c r="U10" s="49"/>
      <c r="V10" s="49"/>
      <c r="W10" s="49"/>
      <c r="X10" s="49"/>
      <c r="Y10" s="49"/>
      <c r="Z10" s="49"/>
      <c r="AA10" s="49"/>
      <c r="AB10" s="49"/>
      <c r="AC10" s="49"/>
      <c r="AD10" s="49"/>
      <c r="AE10" s="49"/>
      <c r="AF10" s="49"/>
      <c r="AG10" s="49"/>
      <c r="AH10" s="49"/>
      <c r="AI10" s="49"/>
      <c r="AJ10" s="49"/>
      <c r="AK10" s="49"/>
      <c r="AL10" s="49"/>
      <c r="AM10" s="49"/>
    </row>
    <row r="11" spans="1:40" ht="20.25">
      <c r="A11" s="48"/>
      <c r="B11" s="49"/>
      <c r="C11" s="50"/>
      <c r="D11" s="50"/>
      <c r="E11" s="50"/>
      <c r="F11" s="50"/>
      <c r="G11" s="50"/>
      <c r="H11" s="50"/>
      <c r="I11" s="50"/>
      <c r="J11" s="50"/>
      <c r="K11" s="50"/>
      <c r="L11" s="51"/>
      <c r="M11" s="50"/>
      <c r="N11" s="50"/>
      <c r="O11" s="50"/>
      <c r="P11" s="50"/>
      <c r="Q11" s="50"/>
      <c r="R11" s="49"/>
      <c r="S11" s="49"/>
      <c r="T11" s="49"/>
      <c r="U11" s="49"/>
      <c r="V11" s="49"/>
      <c r="W11" s="49"/>
      <c r="X11" s="49"/>
      <c r="Y11" s="49"/>
      <c r="Z11" s="49"/>
      <c r="AA11" s="49"/>
      <c r="AB11" s="49"/>
      <c r="AC11" s="49"/>
      <c r="AD11" s="49"/>
      <c r="AE11" s="49"/>
      <c r="AF11" s="49"/>
      <c r="AG11" s="49"/>
      <c r="AH11" s="49"/>
      <c r="AI11" s="49"/>
      <c r="AJ11" s="49"/>
      <c r="AK11" s="49"/>
      <c r="AL11" s="49"/>
      <c r="AM11" s="49"/>
    </row>
    <row r="12" spans="1:40" ht="20.25">
      <c r="A12" s="48"/>
      <c r="B12" s="49"/>
      <c r="C12" s="50"/>
      <c r="D12" s="50"/>
      <c r="E12" s="50"/>
      <c r="F12" s="50"/>
      <c r="G12" s="50"/>
      <c r="H12" s="50"/>
      <c r="I12" s="50"/>
      <c r="J12" s="50"/>
      <c r="K12" s="50"/>
      <c r="L12" s="51"/>
      <c r="M12" s="50"/>
      <c r="N12" s="50"/>
      <c r="O12" s="50"/>
      <c r="P12" s="50"/>
      <c r="Q12" s="50"/>
      <c r="R12" s="49"/>
      <c r="S12" s="49"/>
      <c r="T12" s="49"/>
      <c r="U12" s="49"/>
      <c r="V12" s="49"/>
      <c r="W12" s="49"/>
      <c r="X12" s="49"/>
      <c r="Y12" s="49"/>
      <c r="Z12" s="49"/>
      <c r="AA12" s="49"/>
      <c r="AB12" s="49"/>
      <c r="AC12" s="49"/>
      <c r="AD12" s="49"/>
      <c r="AE12" s="49"/>
      <c r="AF12" s="49"/>
      <c r="AG12" s="49"/>
      <c r="AH12" s="49"/>
      <c r="AI12" s="49"/>
      <c r="AJ12" s="49"/>
      <c r="AK12" s="49"/>
      <c r="AL12" s="49"/>
      <c r="AM12" s="49"/>
    </row>
    <row r="13" spans="1:40" ht="20.25">
      <c r="A13" s="48"/>
      <c r="B13" s="49"/>
      <c r="C13" s="50"/>
      <c r="D13" s="50"/>
      <c r="E13" s="50"/>
      <c r="F13" s="50"/>
      <c r="G13" s="50"/>
      <c r="H13" s="50"/>
      <c r="I13" s="50"/>
      <c r="J13" s="50"/>
      <c r="K13" s="50"/>
      <c r="L13" s="51"/>
      <c r="M13" s="50"/>
      <c r="N13" s="50"/>
      <c r="O13" s="50"/>
      <c r="P13" s="50"/>
      <c r="Q13" s="50"/>
      <c r="R13" s="49"/>
      <c r="S13" s="49"/>
      <c r="T13" s="49"/>
      <c r="U13" s="49"/>
      <c r="V13" s="49"/>
      <c r="W13" s="49"/>
      <c r="X13" s="49"/>
      <c r="Y13" s="49"/>
      <c r="Z13" s="49"/>
      <c r="AA13" s="49"/>
      <c r="AB13" s="49"/>
      <c r="AC13" s="49"/>
      <c r="AD13" s="49"/>
      <c r="AE13" s="49"/>
      <c r="AF13" s="49"/>
      <c r="AG13" s="49"/>
      <c r="AH13" s="49"/>
      <c r="AI13" s="49"/>
      <c r="AJ13" s="49"/>
      <c r="AK13" s="49"/>
      <c r="AL13" s="49"/>
      <c r="AM13" s="49"/>
    </row>
    <row r="14" spans="1:40" ht="20.25">
      <c r="A14" s="48"/>
      <c r="B14" s="49"/>
      <c r="C14" s="50"/>
      <c r="D14" s="50"/>
      <c r="E14" s="50"/>
      <c r="F14" s="50"/>
      <c r="G14" s="50"/>
      <c r="H14" s="50"/>
      <c r="I14" s="50"/>
      <c r="J14" s="50"/>
      <c r="K14" s="50"/>
      <c r="L14" s="51"/>
      <c r="M14" s="50"/>
      <c r="N14" s="50"/>
      <c r="O14" s="50"/>
      <c r="P14" s="50"/>
      <c r="Q14" s="50"/>
      <c r="R14" s="49"/>
      <c r="S14" s="49"/>
      <c r="T14" s="49"/>
      <c r="U14" s="49"/>
      <c r="V14" s="49"/>
      <c r="W14" s="49"/>
      <c r="X14" s="49"/>
      <c r="Y14" s="49"/>
      <c r="Z14" s="49"/>
      <c r="AA14" s="49"/>
      <c r="AB14" s="49"/>
      <c r="AC14" s="49"/>
      <c r="AD14" s="49"/>
      <c r="AE14" s="49"/>
      <c r="AF14" s="49"/>
      <c r="AG14" s="49"/>
      <c r="AH14" s="49"/>
      <c r="AI14" s="49"/>
      <c r="AJ14" s="49"/>
      <c r="AK14" s="49"/>
      <c r="AL14" s="49"/>
      <c r="AM14" s="49"/>
    </row>
    <row r="15" spans="1:40" ht="20.25">
      <c r="A15" s="48"/>
      <c r="B15" s="49"/>
      <c r="C15" s="50"/>
      <c r="D15" s="50"/>
      <c r="E15" s="50"/>
      <c r="F15" s="50"/>
      <c r="G15" s="50"/>
      <c r="H15" s="50"/>
      <c r="I15" s="50"/>
      <c r="J15" s="50"/>
      <c r="K15" s="50"/>
      <c r="L15" s="51"/>
      <c r="M15" s="50"/>
      <c r="N15" s="50"/>
      <c r="O15" s="50"/>
      <c r="P15" s="50"/>
      <c r="Q15" s="50"/>
      <c r="R15" s="49"/>
      <c r="S15" s="49"/>
      <c r="T15" s="49"/>
      <c r="U15" s="49"/>
      <c r="V15" s="49"/>
      <c r="W15" s="49"/>
      <c r="X15" s="49"/>
      <c r="Y15" s="49"/>
      <c r="Z15" s="49"/>
      <c r="AA15" s="49"/>
      <c r="AB15" s="49"/>
      <c r="AC15" s="49"/>
      <c r="AD15" s="49"/>
      <c r="AE15" s="49"/>
      <c r="AF15" s="49"/>
      <c r="AG15" s="49"/>
      <c r="AH15" s="49"/>
      <c r="AI15" s="49"/>
      <c r="AJ15" s="49"/>
      <c r="AK15" s="49"/>
      <c r="AL15" s="49"/>
      <c r="AM15" s="49"/>
    </row>
    <row r="16" spans="1:40" ht="20.25">
      <c r="A16" s="48"/>
      <c r="B16" s="49"/>
      <c r="C16" s="50"/>
      <c r="D16" s="50"/>
      <c r="E16" s="50"/>
      <c r="F16" s="50"/>
      <c r="G16" s="50"/>
      <c r="H16" s="50"/>
      <c r="I16" s="50"/>
      <c r="J16" s="50"/>
      <c r="K16" s="50"/>
      <c r="L16" s="67"/>
      <c r="M16" s="50"/>
      <c r="N16" s="50"/>
      <c r="O16" s="50"/>
      <c r="P16" s="50"/>
      <c r="Q16" s="50"/>
      <c r="R16" s="49"/>
      <c r="S16" s="49"/>
      <c r="T16" s="49"/>
      <c r="U16" s="49"/>
      <c r="V16" s="49"/>
      <c r="W16" s="49"/>
      <c r="X16" s="49"/>
      <c r="Y16" s="49"/>
      <c r="Z16" s="49"/>
      <c r="AA16" s="49"/>
      <c r="AB16" s="49"/>
      <c r="AC16" s="49"/>
      <c r="AD16" s="49"/>
      <c r="AE16" s="49"/>
      <c r="AF16" s="49"/>
      <c r="AG16" s="49"/>
      <c r="AH16" s="49"/>
      <c r="AI16" s="49"/>
      <c r="AJ16" s="49"/>
      <c r="AK16" s="49"/>
      <c r="AL16" s="49"/>
      <c r="AM16" s="49"/>
    </row>
    <row r="17" spans="1:39" ht="20.25">
      <c r="A17" s="48"/>
      <c r="B17" s="49"/>
      <c r="C17" s="50"/>
      <c r="D17" s="50"/>
      <c r="E17" s="50"/>
      <c r="F17" s="50"/>
      <c r="G17" s="50"/>
      <c r="H17" s="50"/>
      <c r="I17" s="50"/>
      <c r="J17" s="50"/>
      <c r="K17" s="50"/>
      <c r="L17" s="51"/>
      <c r="M17" s="50"/>
      <c r="N17" s="50"/>
      <c r="O17" s="50"/>
      <c r="P17" s="50"/>
      <c r="Q17" s="50"/>
      <c r="R17" s="49"/>
      <c r="S17" s="49"/>
      <c r="T17" s="49"/>
      <c r="U17" s="49"/>
      <c r="V17" s="49"/>
      <c r="W17" s="49"/>
      <c r="X17" s="49"/>
      <c r="Y17" s="49"/>
      <c r="Z17" s="49"/>
      <c r="AA17" s="49"/>
      <c r="AB17" s="49"/>
      <c r="AC17" s="49"/>
      <c r="AD17" s="49"/>
      <c r="AE17" s="49"/>
      <c r="AF17" s="49"/>
      <c r="AG17" s="49"/>
      <c r="AH17" s="49"/>
      <c r="AI17" s="49"/>
      <c r="AJ17" s="49"/>
      <c r="AK17" s="49"/>
      <c r="AL17" s="49"/>
      <c r="AM17" s="49"/>
    </row>
    <row r="18" spans="1:39" ht="20.25">
      <c r="A18" s="48"/>
      <c r="B18" s="49"/>
      <c r="C18" s="50"/>
      <c r="D18" s="50"/>
      <c r="E18" s="50"/>
      <c r="F18" s="50"/>
      <c r="G18" s="50"/>
      <c r="H18" s="50"/>
      <c r="I18" s="50"/>
      <c r="J18" s="50"/>
      <c r="K18" s="50"/>
      <c r="L18" s="51"/>
      <c r="M18" s="50"/>
      <c r="N18" s="50"/>
      <c r="O18" s="50"/>
      <c r="P18" s="50"/>
      <c r="Q18" s="50"/>
      <c r="R18" s="49"/>
      <c r="S18" s="49"/>
      <c r="T18" s="49"/>
      <c r="U18" s="49"/>
      <c r="V18" s="49"/>
      <c r="W18" s="49"/>
      <c r="X18" s="49"/>
      <c r="Y18" s="49"/>
      <c r="Z18" s="49"/>
      <c r="AA18" s="49"/>
      <c r="AB18" s="49"/>
      <c r="AC18" s="49"/>
      <c r="AD18" s="49"/>
      <c r="AE18" s="49"/>
      <c r="AF18" s="49"/>
      <c r="AG18" s="49"/>
      <c r="AH18" s="49"/>
      <c r="AI18" s="49"/>
      <c r="AJ18" s="49"/>
      <c r="AK18" s="49"/>
      <c r="AL18" s="49"/>
      <c r="AM18" s="49"/>
    </row>
    <row r="19" spans="1:39" ht="20.25">
      <c r="A19" s="48"/>
      <c r="B19" s="49"/>
      <c r="C19" s="50"/>
      <c r="D19" s="50"/>
      <c r="E19" s="50"/>
      <c r="F19" s="50"/>
      <c r="G19" s="50"/>
      <c r="H19" s="50"/>
      <c r="I19" s="50"/>
      <c r="J19" s="50"/>
      <c r="K19" s="50"/>
      <c r="L19" s="51"/>
      <c r="M19" s="50"/>
      <c r="N19" s="50"/>
      <c r="O19" s="50"/>
      <c r="P19" s="50"/>
      <c r="Q19" s="50"/>
      <c r="R19" s="49"/>
      <c r="S19" s="49"/>
      <c r="T19" s="49"/>
      <c r="U19" s="49"/>
      <c r="V19" s="49"/>
      <c r="W19" s="49"/>
      <c r="X19" s="49"/>
      <c r="Y19" s="49"/>
      <c r="Z19" s="49"/>
      <c r="AA19" s="49"/>
      <c r="AB19" s="49"/>
      <c r="AC19" s="49"/>
      <c r="AD19" s="49"/>
      <c r="AE19" s="49"/>
      <c r="AF19" s="49"/>
      <c r="AG19" s="49"/>
      <c r="AH19" s="49"/>
      <c r="AI19" s="49"/>
      <c r="AJ19" s="49"/>
      <c r="AK19" s="49"/>
      <c r="AL19" s="49"/>
      <c r="AM19" s="49"/>
    </row>
    <row r="20" spans="1:39" ht="20.25">
      <c r="A20" s="48"/>
      <c r="B20" s="49"/>
      <c r="C20" s="50"/>
      <c r="D20" s="50"/>
      <c r="E20" s="50"/>
      <c r="F20" s="50"/>
      <c r="G20" s="50"/>
      <c r="H20" s="50"/>
      <c r="I20" s="50"/>
      <c r="J20" s="50"/>
      <c r="K20" s="50"/>
      <c r="L20" s="51"/>
      <c r="M20" s="50"/>
      <c r="N20" s="50"/>
      <c r="O20" s="50"/>
      <c r="P20" s="50"/>
      <c r="Q20" s="50"/>
      <c r="R20" s="49"/>
      <c r="S20" s="49"/>
      <c r="T20" s="49"/>
      <c r="U20" s="49"/>
      <c r="V20" s="49"/>
      <c r="W20" s="49"/>
      <c r="X20" s="49"/>
      <c r="Y20" s="49"/>
      <c r="Z20" s="49"/>
      <c r="AA20" s="49"/>
      <c r="AB20" s="49"/>
      <c r="AC20" s="49"/>
      <c r="AD20" s="49"/>
      <c r="AE20" s="49"/>
      <c r="AF20" s="49"/>
      <c r="AG20" s="49"/>
      <c r="AH20" s="49"/>
      <c r="AI20" s="49"/>
      <c r="AJ20" s="49"/>
      <c r="AK20" s="49"/>
      <c r="AL20" s="49"/>
      <c r="AM20" s="49"/>
    </row>
    <row r="21" spans="1:39" ht="20.25">
      <c r="A21" s="48"/>
      <c r="B21" s="49"/>
      <c r="C21" s="50"/>
      <c r="D21" s="50"/>
      <c r="E21" s="50"/>
      <c r="F21" s="50"/>
      <c r="G21" s="50"/>
      <c r="H21" s="50"/>
      <c r="I21" s="50"/>
      <c r="J21" s="50"/>
      <c r="K21" s="50"/>
      <c r="L21" s="51"/>
      <c r="M21" s="50"/>
      <c r="N21" s="50"/>
      <c r="O21" s="50"/>
      <c r="P21" s="50"/>
      <c r="Q21" s="50"/>
      <c r="R21" s="49"/>
      <c r="S21" s="49"/>
      <c r="T21" s="49"/>
      <c r="U21" s="49"/>
      <c r="V21" s="49"/>
      <c r="W21" s="49"/>
      <c r="X21" s="49"/>
      <c r="Y21" s="49"/>
      <c r="Z21" s="49"/>
      <c r="AA21" s="49"/>
      <c r="AB21" s="49"/>
      <c r="AC21" s="49"/>
      <c r="AD21" s="49"/>
      <c r="AE21" s="49"/>
      <c r="AF21" s="49"/>
      <c r="AG21" s="49"/>
      <c r="AH21" s="49"/>
      <c r="AI21" s="49"/>
      <c r="AJ21" s="49"/>
      <c r="AK21" s="49"/>
      <c r="AL21" s="49"/>
      <c r="AM21" s="49"/>
    </row>
    <row r="22" spans="1:39" ht="20.25">
      <c r="A22" s="48"/>
      <c r="B22" s="49"/>
      <c r="C22" s="50"/>
      <c r="D22" s="50"/>
      <c r="E22" s="50"/>
      <c r="F22" s="50"/>
      <c r="G22" s="50"/>
      <c r="H22" s="50"/>
      <c r="I22" s="50"/>
      <c r="J22" s="50"/>
      <c r="K22" s="50"/>
      <c r="L22" s="51"/>
      <c r="M22" s="50"/>
      <c r="N22" s="50"/>
      <c r="O22" s="50"/>
      <c r="P22" s="50"/>
      <c r="Q22" s="50"/>
      <c r="R22" s="49"/>
      <c r="S22" s="49"/>
      <c r="T22" s="49"/>
      <c r="U22" s="49"/>
      <c r="V22" s="49"/>
      <c r="W22" s="49"/>
      <c r="X22" s="49"/>
      <c r="Y22" s="49"/>
      <c r="Z22" s="49"/>
      <c r="AA22" s="49"/>
      <c r="AB22" s="49"/>
      <c r="AC22" s="49"/>
      <c r="AD22" s="49"/>
      <c r="AE22" s="49"/>
      <c r="AF22" s="49"/>
      <c r="AG22" s="49"/>
      <c r="AH22" s="49"/>
      <c r="AI22" s="49"/>
      <c r="AJ22" s="49"/>
      <c r="AK22" s="49"/>
      <c r="AL22" s="49"/>
      <c r="AM22" s="49"/>
    </row>
    <row r="23" spans="1:39" ht="20.25">
      <c r="A23" s="48"/>
      <c r="B23" s="49"/>
      <c r="C23" s="50"/>
      <c r="D23" s="50"/>
      <c r="E23" s="50"/>
      <c r="F23" s="50"/>
      <c r="G23" s="50"/>
      <c r="H23" s="50"/>
      <c r="I23" s="50"/>
      <c r="J23" s="50"/>
      <c r="K23" s="50"/>
      <c r="L23" s="51"/>
      <c r="M23" s="50"/>
      <c r="N23" s="50"/>
      <c r="O23" s="50"/>
      <c r="P23" s="50"/>
      <c r="Q23" s="50"/>
      <c r="R23" s="49"/>
      <c r="S23" s="49"/>
      <c r="T23" s="49"/>
      <c r="U23" s="49"/>
      <c r="V23" s="49"/>
      <c r="W23" s="49"/>
      <c r="X23" s="49"/>
      <c r="Y23" s="49"/>
      <c r="Z23" s="49"/>
      <c r="AA23" s="49"/>
      <c r="AB23" s="49"/>
      <c r="AC23" s="49"/>
      <c r="AD23" s="49"/>
      <c r="AE23" s="49"/>
      <c r="AF23" s="49"/>
      <c r="AG23" s="49"/>
      <c r="AH23" s="49"/>
      <c r="AI23" s="49"/>
      <c r="AJ23" s="49"/>
      <c r="AK23" s="49"/>
      <c r="AL23" s="49"/>
      <c r="AM23" s="49"/>
    </row>
    <row r="24" spans="1:39" ht="20.25">
      <c r="A24" s="48"/>
      <c r="B24" s="49"/>
      <c r="C24" s="50"/>
      <c r="D24" s="50"/>
      <c r="E24" s="50"/>
      <c r="F24" s="50"/>
      <c r="G24" s="50"/>
      <c r="H24" s="50"/>
      <c r="I24" s="50"/>
      <c r="J24" s="50"/>
      <c r="K24" s="50"/>
      <c r="L24" s="51"/>
      <c r="M24" s="50"/>
      <c r="N24" s="50"/>
      <c r="O24" s="50"/>
      <c r="P24" s="50"/>
      <c r="R24" s="49"/>
      <c r="S24" s="49"/>
      <c r="T24" s="49"/>
      <c r="U24" s="49"/>
      <c r="V24" s="49"/>
      <c r="W24" s="49"/>
      <c r="X24" s="49"/>
      <c r="Y24" s="49"/>
      <c r="Z24" s="49"/>
      <c r="AA24" s="49"/>
      <c r="AB24" s="49"/>
      <c r="AC24" s="49"/>
      <c r="AD24" s="49"/>
      <c r="AE24" s="49"/>
      <c r="AF24" s="49"/>
      <c r="AG24" s="49"/>
      <c r="AH24" s="49"/>
      <c r="AI24" s="49"/>
      <c r="AJ24" s="49"/>
      <c r="AK24" s="49"/>
      <c r="AL24" s="49"/>
      <c r="AM24" s="49"/>
    </row>
    <row r="25" spans="1:39" ht="20.25">
      <c r="A25" s="48"/>
      <c r="B25" s="49"/>
      <c r="C25" s="50"/>
      <c r="D25" s="50"/>
      <c r="E25" s="50"/>
      <c r="F25" s="50"/>
      <c r="G25" s="50"/>
      <c r="H25" s="50"/>
      <c r="I25" s="50"/>
      <c r="J25" s="50"/>
      <c r="K25" s="50"/>
      <c r="L25" s="50"/>
      <c r="N25" s="50"/>
      <c r="O25" s="50"/>
      <c r="P25" s="50"/>
      <c r="Q25" s="50"/>
      <c r="R25" s="50"/>
      <c r="S25" s="49"/>
      <c r="T25" s="49"/>
      <c r="U25" s="49"/>
      <c r="V25" s="49"/>
      <c r="W25" s="49"/>
      <c r="X25" s="49"/>
      <c r="Y25" s="49"/>
      <c r="Z25" s="49"/>
      <c r="AA25" s="49"/>
      <c r="AB25" s="49"/>
      <c r="AC25" s="49"/>
      <c r="AD25" s="49"/>
      <c r="AE25" s="49"/>
      <c r="AF25" s="49"/>
      <c r="AG25" s="49"/>
      <c r="AH25" s="49"/>
      <c r="AI25" s="49"/>
      <c r="AJ25" s="49"/>
      <c r="AK25" s="49"/>
      <c r="AL25" s="49"/>
      <c r="AM25" s="49"/>
    </row>
    <row r="26" spans="1:39" ht="20.25">
      <c r="A26" s="48"/>
      <c r="B26" s="49"/>
      <c r="C26" s="50"/>
      <c r="D26" s="50"/>
      <c r="E26" s="50"/>
      <c r="F26" s="50"/>
      <c r="G26" s="50"/>
      <c r="H26" s="50"/>
      <c r="I26" s="50"/>
      <c r="J26" s="50"/>
      <c r="K26" s="50"/>
      <c r="L26" s="51"/>
      <c r="M26" s="50"/>
      <c r="N26" s="50"/>
      <c r="O26" s="50"/>
      <c r="P26" s="50"/>
      <c r="Q26" s="50"/>
      <c r="R26" s="49"/>
      <c r="S26" s="49"/>
      <c r="T26" s="49"/>
      <c r="U26" s="49"/>
      <c r="V26" s="49"/>
      <c r="W26" s="49"/>
      <c r="X26" s="49"/>
      <c r="Y26" s="49"/>
      <c r="Z26" s="49"/>
      <c r="AA26" s="49"/>
      <c r="AB26" s="49"/>
      <c r="AC26" s="49"/>
      <c r="AD26" s="49"/>
      <c r="AE26" s="49"/>
      <c r="AF26" s="49"/>
      <c r="AG26" s="49"/>
      <c r="AH26" s="49"/>
      <c r="AI26" s="49"/>
      <c r="AJ26" s="49"/>
      <c r="AK26" s="49"/>
      <c r="AL26" s="49"/>
      <c r="AM26" s="49"/>
    </row>
    <row r="27" spans="1:39" ht="20.25">
      <c r="A27" s="48"/>
      <c r="B27" s="49"/>
      <c r="C27" s="50"/>
      <c r="D27" s="50"/>
      <c r="E27" s="50"/>
      <c r="F27" s="50"/>
      <c r="G27" s="50"/>
      <c r="H27" s="50"/>
      <c r="I27" s="50"/>
      <c r="J27" s="50"/>
      <c r="K27" s="50"/>
      <c r="L27" s="51"/>
      <c r="M27" s="50"/>
      <c r="N27" s="50"/>
      <c r="O27" s="50"/>
      <c r="P27" s="50"/>
      <c r="Q27" s="50"/>
      <c r="R27" s="49"/>
      <c r="S27" s="49"/>
      <c r="T27" s="49"/>
      <c r="U27" s="49"/>
      <c r="V27" s="49"/>
      <c r="W27" s="49"/>
      <c r="X27" s="49"/>
      <c r="Y27" s="49"/>
      <c r="Z27" s="49"/>
      <c r="AA27" s="49"/>
      <c r="AB27" s="49"/>
      <c r="AC27" s="49"/>
      <c r="AD27" s="49"/>
      <c r="AE27" s="49"/>
      <c r="AF27" s="49"/>
      <c r="AG27" s="49"/>
      <c r="AH27" s="49"/>
      <c r="AI27" s="49"/>
      <c r="AJ27" s="49"/>
      <c r="AK27" s="49"/>
      <c r="AL27" s="49"/>
      <c r="AM27" s="49"/>
    </row>
    <row r="28" spans="1:39" ht="20.25">
      <c r="A28" s="48"/>
      <c r="B28" s="49"/>
      <c r="C28" s="50"/>
      <c r="D28" s="50"/>
      <c r="E28" s="50"/>
      <c r="F28" s="50"/>
      <c r="G28" s="50"/>
      <c r="H28" s="50"/>
      <c r="I28" s="50"/>
      <c r="J28" s="50"/>
      <c r="K28" s="50"/>
      <c r="L28" s="51"/>
      <c r="M28" s="50"/>
      <c r="N28" s="50"/>
      <c r="O28" s="50"/>
      <c r="P28" s="50"/>
      <c r="Q28" s="50"/>
      <c r="R28" s="49"/>
      <c r="S28" s="49"/>
      <c r="T28" s="49"/>
      <c r="U28" s="49"/>
      <c r="V28" s="49"/>
      <c r="W28" s="49"/>
      <c r="X28" s="49"/>
      <c r="Y28" s="49"/>
      <c r="Z28" s="49"/>
      <c r="AA28" s="49"/>
      <c r="AB28" s="49"/>
      <c r="AC28" s="49"/>
      <c r="AD28" s="49"/>
      <c r="AE28" s="49"/>
      <c r="AF28" s="49"/>
      <c r="AG28" s="49"/>
      <c r="AH28" s="49"/>
      <c r="AI28" s="49"/>
      <c r="AJ28" s="49"/>
      <c r="AK28" s="49"/>
      <c r="AL28" s="49"/>
      <c r="AM28" s="49"/>
    </row>
    <row r="29" spans="1:39" ht="20.25">
      <c r="A29" s="48"/>
      <c r="B29" s="49"/>
      <c r="C29" s="50"/>
      <c r="D29" s="50"/>
      <c r="E29" s="50"/>
      <c r="F29" s="50"/>
      <c r="G29" s="50"/>
      <c r="H29" s="50"/>
      <c r="I29" s="50"/>
      <c r="J29" s="50"/>
      <c r="K29" s="50"/>
      <c r="L29" s="51"/>
      <c r="M29" s="50"/>
      <c r="N29" s="50"/>
      <c r="O29" s="50"/>
      <c r="P29" s="50"/>
      <c r="Q29" s="50"/>
      <c r="R29" s="49"/>
      <c r="S29" s="49"/>
      <c r="T29" s="49"/>
      <c r="U29" s="49"/>
      <c r="V29" s="49"/>
      <c r="W29" s="49"/>
      <c r="X29" s="49"/>
      <c r="Y29" s="49"/>
      <c r="Z29" s="49"/>
      <c r="AA29" s="49"/>
      <c r="AB29" s="49"/>
      <c r="AC29" s="49"/>
      <c r="AD29" s="49"/>
      <c r="AE29" s="49"/>
      <c r="AF29" s="49"/>
      <c r="AG29" s="49"/>
      <c r="AH29" s="49"/>
      <c r="AI29" s="49"/>
      <c r="AJ29" s="49"/>
      <c r="AK29" s="49"/>
      <c r="AL29" s="49"/>
      <c r="AM29" s="49"/>
    </row>
    <row r="30" spans="1:39" ht="20.25">
      <c r="A30" s="48"/>
      <c r="B30" s="49"/>
      <c r="C30" s="50"/>
      <c r="D30" s="50"/>
      <c r="E30" s="50"/>
      <c r="F30" s="50"/>
      <c r="G30" s="50"/>
      <c r="H30" s="50"/>
      <c r="I30" s="50"/>
      <c r="J30" s="50"/>
      <c r="K30" s="50"/>
      <c r="L30" s="51"/>
      <c r="M30" s="50"/>
      <c r="N30" s="50"/>
      <c r="O30" s="50"/>
      <c r="P30" s="50"/>
      <c r="Q30" s="50"/>
      <c r="R30" s="49"/>
      <c r="S30" s="49"/>
      <c r="T30" s="49"/>
      <c r="U30" s="49"/>
      <c r="V30" s="49"/>
      <c r="W30" s="49"/>
      <c r="X30" s="49"/>
      <c r="Y30" s="49"/>
      <c r="Z30" s="49"/>
      <c r="AA30" s="49"/>
      <c r="AB30" s="49"/>
      <c r="AC30" s="49"/>
      <c r="AD30" s="49"/>
      <c r="AE30" s="49"/>
      <c r="AF30" s="49"/>
      <c r="AG30" s="49"/>
      <c r="AH30" s="49"/>
      <c r="AI30" s="49"/>
      <c r="AJ30" s="49"/>
      <c r="AK30" s="49"/>
      <c r="AL30" s="49"/>
      <c r="AM30" s="49"/>
    </row>
    <row r="31" spans="1:39" ht="20.25">
      <c r="A31" s="48"/>
      <c r="B31" s="49"/>
      <c r="C31" s="50"/>
      <c r="D31" s="50"/>
      <c r="E31" s="50"/>
      <c r="F31" s="50"/>
      <c r="G31" s="50"/>
      <c r="H31" s="50"/>
      <c r="I31" s="50"/>
      <c r="J31" s="50"/>
      <c r="K31" s="50"/>
      <c r="L31" s="51"/>
      <c r="M31" s="50"/>
      <c r="N31" s="50"/>
      <c r="O31" s="50"/>
      <c r="P31" s="50"/>
      <c r="Q31" s="50"/>
      <c r="R31" s="49"/>
      <c r="S31" s="49"/>
      <c r="T31" s="49"/>
      <c r="U31" s="49"/>
      <c r="V31" s="49"/>
      <c r="W31" s="49"/>
      <c r="X31" s="49"/>
      <c r="Y31" s="49"/>
      <c r="Z31" s="49"/>
      <c r="AA31" s="49"/>
      <c r="AB31" s="49"/>
      <c r="AC31" s="49"/>
      <c r="AD31" s="49"/>
      <c r="AE31" s="49"/>
      <c r="AF31" s="49"/>
      <c r="AG31" s="49"/>
      <c r="AH31" s="49"/>
      <c r="AI31" s="49"/>
      <c r="AJ31" s="49"/>
      <c r="AK31" s="49"/>
      <c r="AL31" s="49"/>
      <c r="AM31" s="49"/>
    </row>
    <row r="32" spans="1:39" ht="20.25">
      <c r="A32" s="48"/>
      <c r="B32" s="49"/>
      <c r="C32" s="50"/>
      <c r="D32" s="50"/>
      <c r="E32" s="50"/>
      <c r="F32" s="50"/>
      <c r="G32" s="50"/>
      <c r="H32" s="50"/>
      <c r="I32" s="50"/>
      <c r="J32" s="50"/>
      <c r="K32" s="50"/>
      <c r="L32" s="51"/>
      <c r="M32" s="50"/>
      <c r="N32" s="50"/>
      <c r="O32" s="50"/>
      <c r="P32" s="50"/>
      <c r="Q32" s="50"/>
      <c r="R32" s="49"/>
      <c r="S32" s="49"/>
      <c r="T32" s="49"/>
      <c r="U32" s="49"/>
      <c r="V32" s="49"/>
      <c r="W32" s="49"/>
      <c r="X32" s="49"/>
      <c r="Y32" s="49"/>
      <c r="Z32" s="49"/>
      <c r="AA32" s="49"/>
      <c r="AB32" s="49"/>
      <c r="AC32" s="49"/>
      <c r="AD32" s="49"/>
      <c r="AE32" s="49"/>
      <c r="AF32" s="49"/>
      <c r="AG32" s="49"/>
      <c r="AH32" s="49"/>
      <c r="AI32" s="49"/>
      <c r="AJ32" s="49"/>
      <c r="AK32" s="49"/>
      <c r="AL32" s="49"/>
      <c r="AM32" s="49"/>
    </row>
    <row r="33" spans="1:39" ht="20.25">
      <c r="A33" s="48"/>
      <c r="B33" s="49"/>
      <c r="C33" s="50"/>
      <c r="D33" s="50"/>
      <c r="E33" s="50"/>
      <c r="F33" s="50"/>
      <c r="G33" s="50"/>
      <c r="H33" s="50"/>
      <c r="I33" s="50"/>
      <c r="J33" s="50"/>
      <c r="K33" s="50"/>
      <c r="L33" s="51"/>
      <c r="M33" s="50"/>
      <c r="N33" s="50"/>
      <c r="O33" s="50"/>
      <c r="P33" s="50"/>
      <c r="Q33" s="50"/>
      <c r="R33" s="49"/>
      <c r="S33" s="49"/>
      <c r="T33" s="49"/>
      <c r="U33" s="49"/>
      <c r="V33" s="49"/>
      <c r="W33" s="49"/>
      <c r="X33" s="49"/>
      <c r="Y33" s="49"/>
      <c r="Z33" s="49"/>
      <c r="AA33" s="49"/>
      <c r="AB33" s="49"/>
      <c r="AC33" s="49"/>
      <c r="AD33" s="49"/>
      <c r="AE33" s="49"/>
      <c r="AF33" s="49"/>
      <c r="AG33" s="49"/>
      <c r="AH33" s="49"/>
      <c r="AI33" s="49"/>
      <c r="AJ33" s="49"/>
      <c r="AK33" s="49"/>
      <c r="AL33" s="49"/>
      <c r="AM33" s="49"/>
    </row>
    <row r="34" spans="1:39" ht="20.25">
      <c r="A34" s="48"/>
      <c r="B34" s="49"/>
      <c r="C34" s="50"/>
      <c r="D34" s="50"/>
      <c r="E34" s="50"/>
      <c r="F34" s="50"/>
      <c r="G34" s="50"/>
      <c r="H34" s="50"/>
      <c r="I34" s="50"/>
      <c r="J34" s="50"/>
      <c r="K34" s="50"/>
      <c r="L34" s="51"/>
      <c r="M34" s="50"/>
      <c r="N34" s="50"/>
      <c r="O34" s="50"/>
      <c r="P34" s="50"/>
      <c r="Q34" s="50"/>
      <c r="R34" s="49"/>
      <c r="S34" s="49"/>
      <c r="T34" s="49"/>
      <c r="U34" s="49"/>
      <c r="V34" s="49"/>
      <c r="W34" s="49"/>
      <c r="X34" s="49"/>
      <c r="Y34" s="49"/>
      <c r="Z34" s="49"/>
      <c r="AA34" s="49"/>
      <c r="AB34" s="49"/>
      <c r="AC34" s="49"/>
      <c r="AD34" s="49"/>
      <c r="AE34" s="49"/>
      <c r="AF34" s="49"/>
      <c r="AG34" s="49"/>
      <c r="AH34" s="49"/>
      <c r="AI34" s="49"/>
      <c r="AJ34" s="49"/>
      <c r="AK34" s="49"/>
      <c r="AL34" s="49"/>
      <c r="AM34" s="49"/>
    </row>
    <row r="35" spans="1:39" ht="20.25">
      <c r="A35" s="48"/>
      <c r="B35" s="49"/>
      <c r="C35" s="50"/>
      <c r="D35" s="50"/>
      <c r="E35" s="50"/>
      <c r="F35" s="50"/>
      <c r="G35" s="50"/>
      <c r="H35" s="50"/>
      <c r="I35" s="50"/>
      <c r="J35" s="50"/>
      <c r="K35" s="50"/>
      <c r="L35" s="51"/>
      <c r="M35" s="50"/>
      <c r="N35" s="50"/>
      <c r="O35" s="50"/>
      <c r="P35" s="50"/>
      <c r="Q35" s="50"/>
      <c r="R35" s="49"/>
      <c r="S35" s="49"/>
      <c r="T35" s="49"/>
      <c r="U35" s="49"/>
      <c r="V35" s="49"/>
      <c r="W35" s="49"/>
      <c r="X35" s="49"/>
      <c r="Y35" s="49"/>
      <c r="Z35" s="49"/>
      <c r="AA35" s="49"/>
      <c r="AB35" s="49"/>
      <c r="AC35" s="49"/>
      <c r="AD35" s="49"/>
      <c r="AE35" s="49"/>
      <c r="AF35" s="49"/>
      <c r="AG35" s="49"/>
      <c r="AH35" s="49"/>
      <c r="AI35" s="49"/>
      <c r="AJ35" s="49"/>
      <c r="AK35" s="49"/>
      <c r="AL35" s="49"/>
      <c r="AM35" s="49"/>
    </row>
    <row r="36" spans="1:39" ht="20.25">
      <c r="A36" s="48"/>
      <c r="B36" s="49"/>
      <c r="C36" s="50"/>
      <c r="D36" s="50"/>
      <c r="E36" s="50"/>
      <c r="F36" s="50"/>
      <c r="G36" s="50"/>
      <c r="H36" s="50"/>
      <c r="I36" s="50"/>
      <c r="J36" s="50"/>
      <c r="K36" s="50"/>
      <c r="L36" s="51"/>
      <c r="M36" s="50"/>
      <c r="N36" s="50"/>
      <c r="O36" s="50"/>
      <c r="P36" s="50"/>
      <c r="Q36" s="50"/>
      <c r="R36" s="49"/>
      <c r="S36" s="49"/>
      <c r="T36" s="49"/>
      <c r="U36" s="49"/>
      <c r="V36" s="49"/>
      <c r="W36" s="49"/>
      <c r="X36" s="49"/>
      <c r="Y36" s="49"/>
      <c r="Z36" s="49"/>
      <c r="AA36" s="49"/>
      <c r="AB36" s="49"/>
      <c r="AC36" s="49"/>
      <c r="AD36" s="49"/>
      <c r="AE36" s="49"/>
      <c r="AF36" s="49"/>
      <c r="AG36" s="49"/>
      <c r="AH36" s="49"/>
      <c r="AI36" s="49"/>
      <c r="AJ36" s="49"/>
      <c r="AK36" s="49"/>
      <c r="AL36" s="49"/>
      <c r="AM36" s="49"/>
    </row>
    <row r="37" spans="1:39" ht="20.25">
      <c r="A37" s="48"/>
      <c r="B37" s="49"/>
      <c r="C37" s="50"/>
      <c r="D37" s="50"/>
      <c r="E37" s="50"/>
      <c r="F37" s="50"/>
      <c r="G37" s="50"/>
      <c r="H37" s="50"/>
      <c r="I37" s="50"/>
      <c r="J37" s="50"/>
      <c r="K37" s="50"/>
      <c r="L37" s="51"/>
      <c r="M37" s="50"/>
      <c r="N37" s="50"/>
      <c r="O37" s="50"/>
      <c r="P37" s="50"/>
      <c r="Q37" s="50"/>
      <c r="R37" s="49"/>
      <c r="S37" s="49"/>
      <c r="T37" s="49"/>
      <c r="U37" s="49"/>
      <c r="V37" s="49"/>
      <c r="W37" s="49"/>
      <c r="X37" s="49"/>
      <c r="Y37" s="49"/>
      <c r="Z37" s="49"/>
      <c r="AA37" s="49"/>
      <c r="AB37" s="49"/>
      <c r="AC37" s="49"/>
      <c r="AD37" s="49"/>
      <c r="AE37" s="49"/>
      <c r="AF37" s="49"/>
      <c r="AG37" s="49"/>
      <c r="AH37" s="49"/>
      <c r="AI37" s="49"/>
      <c r="AJ37" s="49"/>
      <c r="AK37" s="49"/>
      <c r="AL37" s="49"/>
      <c r="AM37" s="49"/>
    </row>
    <row r="38" spans="1:39" ht="20.25">
      <c r="A38" s="48"/>
      <c r="B38" s="49"/>
      <c r="C38" s="50"/>
      <c r="D38" s="50"/>
      <c r="E38" s="50"/>
      <c r="F38" s="50"/>
      <c r="G38" s="50"/>
      <c r="H38" s="50"/>
      <c r="I38" s="50"/>
      <c r="J38" s="50"/>
      <c r="K38" s="50"/>
      <c r="L38" s="51"/>
      <c r="M38" s="50"/>
      <c r="N38" s="50"/>
      <c r="O38" s="50"/>
      <c r="P38" s="50"/>
      <c r="Q38" s="50"/>
      <c r="R38" s="49"/>
      <c r="S38" s="49"/>
      <c r="T38" s="49"/>
      <c r="U38" s="49"/>
      <c r="V38" s="49"/>
      <c r="W38" s="49"/>
      <c r="X38" s="49"/>
      <c r="Y38" s="49"/>
      <c r="Z38" s="49"/>
      <c r="AA38" s="49"/>
      <c r="AB38" s="49"/>
      <c r="AC38" s="49"/>
      <c r="AD38" s="49"/>
      <c r="AE38" s="49"/>
      <c r="AF38" s="49"/>
      <c r="AG38" s="49"/>
      <c r="AH38" s="49"/>
      <c r="AI38" s="49"/>
      <c r="AJ38" s="49"/>
      <c r="AK38" s="49"/>
      <c r="AL38" s="49"/>
      <c r="AM38" s="49"/>
    </row>
    <row r="39" spans="1:39" ht="20.25">
      <c r="A39" s="48"/>
      <c r="B39" s="49"/>
      <c r="C39" s="49"/>
      <c r="D39" s="49"/>
      <c r="E39" s="49"/>
      <c r="F39" s="49"/>
      <c r="G39" s="49"/>
      <c r="H39" s="49"/>
      <c r="I39" s="49"/>
      <c r="J39" s="49"/>
      <c r="K39" s="49"/>
      <c r="L39" s="61"/>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row>
    <row r="40" spans="1:39" ht="20.25">
      <c r="A40" s="62" t="s">
        <v>45</v>
      </c>
      <c r="B40" s="62"/>
      <c r="C40" s="63"/>
      <c r="D40" s="64"/>
      <c r="E40" s="63"/>
      <c r="F40" s="65"/>
      <c r="G40" s="62"/>
      <c r="H40" s="62"/>
      <c r="I40" s="62"/>
      <c r="J40" s="62"/>
      <c r="K40" s="62"/>
      <c r="L40" s="62"/>
      <c r="M40" s="62"/>
      <c r="N40" s="62"/>
      <c r="O40" s="62"/>
      <c r="P40" s="62"/>
      <c r="Q40" s="62"/>
      <c r="R40" s="62"/>
      <c r="S40" s="62"/>
      <c r="T40" s="62"/>
      <c r="U40" s="62"/>
      <c r="V40" s="62"/>
      <c r="W40" s="62"/>
      <c r="X40" s="62"/>
      <c r="Y40" s="62"/>
      <c r="Z40" s="62"/>
      <c r="AA40" s="62"/>
      <c r="AB40" s="62"/>
      <c r="AC40" s="62"/>
      <c r="AD40" s="62"/>
      <c r="AE40" s="62"/>
      <c r="AF40" s="62"/>
      <c r="AG40" s="62"/>
      <c r="AH40" s="62"/>
      <c r="AI40" s="62"/>
      <c r="AJ40" s="62"/>
      <c r="AK40" s="62"/>
      <c r="AL40" s="62"/>
      <c r="AM40" s="62"/>
    </row>
    <row r="41" spans="1:39" ht="12.95" customHeight="1"/>
    <row r="42" spans="1:39" ht="12.95" customHeight="1"/>
    <row r="43" spans="1:39" ht="12.95" customHeight="1"/>
    <row r="44" spans="1:39" ht="13.5" customHeight="1"/>
    <row r="45" spans="1:39" ht="12.75" customHeight="1"/>
    <row r="46" spans="1:39" ht="12.95" customHeight="1"/>
    <row r="47" spans="1:39" ht="12.95" customHeight="1"/>
    <row r="48" spans="1:39" ht="12.95" customHeight="1"/>
    <row r="49" ht="12.95" customHeight="1"/>
    <row r="50" ht="12.95" customHeight="1"/>
    <row r="51" ht="12.95" customHeight="1"/>
    <row r="52" ht="12.95" customHeight="1"/>
    <row r="53" ht="12.95" customHeight="1"/>
    <row r="54" ht="12.95" customHeight="1"/>
    <row r="55" ht="12.95" customHeight="1"/>
  </sheetData>
  <pageMargins left="0.7" right="0.7" top="0.75" bottom="0.75" header="0.3" footer="0.3"/>
  <pageSetup paperSize="9"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789E67-302C-4E1F-A953-146D696425AD}">
  <sheetPr codeName="Sheet6">
    <tabColor rgb="FFFFDB8E"/>
  </sheetPr>
  <dimension ref="A1"/>
  <sheetViews>
    <sheetView zoomScale="80" zoomScaleNormal="80" workbookViewId="0"/>
  </sheetViews>
  <sheetFormatPr defaultRowHeight="12.75"/>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401138-8293-42A0-8791-A864AD9F1398}">
  <sheetPr>
    <tabColor rgb="FFFFDB8E"/>
  </sheetPr>
  <dimension ref="A1:AN24"/>
  <sheetViews>
    <sheetView zoomScale="80" zoomScaleNormal="80" workbookViewId="0"/>
  </sheetViews>
  <sheetFormatPr defaultRowHeight="12.75"/>
  <cols>
    <col min="1" max="1" width="23.5703125" bestFit="1" customWidth="1"/>
    <col min="2" max="2" width="23.42578125" bestFit="1" customWidth="1"/>
    <col min="3" max="3" width="50" bestFit="1" customWidth="1"/>
    <col min="5" max="5" width="15.140625" customWidth="1"/>
    <col min="6" max="6" width="10.140625" customWidth="1"/>
  </cols>
  <sheetData>
    <row r="1" spans="1:40" s="208" customFormat="1" ht="32.85" customHeight="1">
      <c r="A1" s="207" t="e">
        <f ca="1" xml:space="preserve"> RIGHT(CELL("filename", A1), LEN(CELL("filename", A1)) - SEARCH("]", CELL("filename", A1)))</f>
        <v>#VALUE!</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row>
    <row r="2" spans="1:40" ht="14.25">
      <c r="A2" s="1"/>
      <c r="B2" s="1"/>
      <c r="C2" s="68" t="s">
        <v>46</v>
      </c>
      <c r="D2" s="1"/>
      <c r="E2" s="68" t="s">
        <v>47</v>
      </c>
      <c r="F2" s="1"/>
    </row>
    <row r="3" spans="1:40" ht="13.15">
      <c r="A3" s="1"/>
      <c r="B3" s="1"/>
      <c r="C3" s="1"/>
      <c r="D3" s="1"/>
      <c r="E3" s="1"/>
      <c r="F3" s="1"/>
    </row>
    <row r="4" spans="1:40" ht="14.25">
      <c r="A4" s="69" t="s">
        <v>48</v>
      </c>
      <c r="B4" s="69" t="s">
        <v>49</v>
      </c>
      <c r="C4" s="69" t="s">
        <v>50</v>
      </c>
      <c r="D4" s="69" t="s">
        <v>51</v>
      </c>
      <c r="E4" s="69" t="s">
        <v>52</v>
      </c>
      <c r="F4" s="69" t="s">
        <v>53</v>
      </c>
    </row>
    <row r="5" spans="1:40" ht="14.25">
      <c r="A5" s="69" t="s">
        <v>48</v>
      </c>
      <c r="B5" s="69" t="s">
        <v>49</v>
      </c>
      <c r="C5" s="69" t="s">
        <v>50</v>
      </c>
      <c r="D5" s="69" t="s">
        <v>51</v>
      </c>
      <c r="E5" s="69" t="s">
        <v>52</v>
      </c>
      <c r="F5" s="69" t="s">
        <v>54</v>
      </c>
    </row>
    <row r="6" spans="1:40" ht="14.25">
      <c r="A6" s="69" t="s">
        <v>48</v>
      </c>
      <c r="B6" s="69" t="s">
        <v>49</v>
      </c>
      <c r="C6" s="69" t="s">
        <v>50</v>
      </c>
      <c r="D6" s="69" t="s">
        <v>51</v>
      </c>
      <c r="E6" s="69" t="s">
        <v>52</v>
      </c>
      <c r="F6" s="69" t="s">
        <v>55</v>
      </c>
    </row>
    <row r="7" spans="1:40" ht="14.25">
      <c r="A7" s="69" t="s">
        <v>48</v>
      </c>
      <c r="B7" s="69" t="s">
        <v>49</v>
      </c>
      <c r="C7" s="69" t="s">
        <v>50</v>
      </c>
      <c r="D7" s="69" t="s">
        <v>51</v>
      </c>
      <c r="E7" s="69" t="s">
        <v>52</v>
      </c>
      <c r="F7" s="69" t="s">
        <v>56</v>
      </c>
    </row>
    <row r="8" spans="1:40" ht="13.15">
      <c r="A8" s="1" t="s">
        <v>57</v>
      </c>
      <c r="B8" s="1" t="s">
        <v>58</v>
      </c>
      <c r="C8" s="1" t="s">
        <v>59</v>
      </c>
      <c r="D8" s="1" t="s">
        <v>60</v>
      </c>
      <c r="E8" s="1" t="s">
        <v>54</v>
      </c>
      <c r="F8" s="213">
        <v>4187.3538391792017</v>
      </c>
    </row>
    <row r="9" spans="1:40" ht="13.15">
      <c r="A9" s="1" t="s">
        <v>61</v>
      </c>
      <c r="B9" s="1" t="s">
        <v>58</v>
      </c>
      <c r="C9" s="1" t="s">
        <v>59</v>
      </c>
      <c r="D9" s="1" t="s">
        <v>60</v>
      </c>
      <c r="E9" s="1" t="s">
        <v>54</v>
      </c>
      <c r="F9" s="213">
        <v>2365.6360000000004</v>
      </c>
    </row>
    <row r="10" spans="1:40" ht="13.15">
      <c r="A10" s="1" t="s">
        <v>62</v>
      </c>
      <c r="B10" s="1" t="s">
        <v>58</v>
      </c>
      <c r="C10" s="1" t="s">
        <v>59</v>
      </c>
      <c r="D10" s="1" t="s">
        <v>60</v>
      </c>
      <c r="E10" s="1" t="s">
        <v>54</v>
      </c>
      <c r="F10" s="213">
        <v>202.99290591725929</v>
      </c>
    </row>
    <row r="11" spans="1:40" ht="13.15">
      <c r="A11" s="1" t="s">
        <v>63</v>
      </c>
      <c r="B11" s="1" t="s">
        <v>58</v>
      </c>
      <c r="C11" s="1" t="s">
        <v>59</v>
      </c>
      <c r="D11" s="1" t="s">
        <v>60</v>
      </c>
      <c r="E11" s="1" t="s">
        <v>54</v>
      </c>
      <c r="F11" s="213">
        <v>3081.8584658883838</v>
      </c>
    </row>
    <row r="12" spans="1:40" ht="13.15">
      <c r="A12" s="1" t="s">
        <v>64</v>
      </c>
      <c r="B12" s="1" t="s">
        <v>58</v>
      </c>
      <c r="C12" s="1" t="s">
        <v>59</v>
      </c>
      <c r="D12" s="1" t="s">
        <v>60</v>
      </c>
      <c r="E12" s="1" t="s">
        <v>54</v>
      </c>
      <c r="F12" s="213">
        <v>5623.0424441747873</v>
      </c>
    </row>
    <row r="13" spans="1:40" ht="13.15">
      <c r="A13" s="1" t="s">
        <v>65</v>
      </c>
      <c r="B13" s="1" t="s">
        <v>58</v>
      </c>
      <c r="C13" s="1" t="s">
        <v>59</v>
      </c>
      <c r="D13" s="1" t="s">
        <v>60</v>
      </c>
      <c r="E13" s="1" t="s">
        <v>54</v>
      </c>
      <c r="F13" s="213">
        <v>1570.2115280676144</v>
      </c>
    </row>
    <row r="14" spans="1:40" ht="13.15">
      <c r="A14" s="1" t="s">
        <v>66</v>
      </c>
      <c r="B14" s="1" t="s">
        <v>58</v>
      </c>
      <c r="C14" s="1" t="s">
        <v>59</v>
      </c>
      <c r="D14" s="1" t="s">
        <v>60</v>
      </c>
      <c r="E14" s="1" t="s">
        <v>54</v>
      </c>
      <c r="F14" s="213">
        <v>3614.7629999999999</v>
      </c>
    </row>
    <row r="15" spans="1:40" ht="13.15">
      <c r="A15" s="1" t="s">
        <v>67</v>
      </c>
      <c r="B15" s="1" t="s">
        <v>58</v>
      </c>
      <c r="C15" s="1" t="s">
        <v>59</v>
      </c>
      <c r="D15" s="1" t="s">
        <v>60</v>
      </c>
      <c r="E15" s="1" t="s">
        <v>54</v>
      </c>
      <c r="F15" s="213">
        <v>10162.162728326373</v>
      </c>
    </row>
    <row r="16" spans="1:40" ht="13.15">
      <c r="A16" s="1" t="s">
        <v>68</v>
      </c>
      <c r="B16" s="1" t="s">
        <v>58</v>
      </c>
      <c r="C16" s="1" t="s">
        <v>59</v>
      </c>
      <c r="D16" s="1" t="s">
        <v>60</v>
      </c>
      <c r="E16" s="1" t="s">
        <v>54</v>
      </c>
      <c r="F16" s="213">
        <v>4204.1445535850035</v>
      </c>
    </row>
    <row r="17" spans="1:6" ht="13.15">
      <c r="A17" s="1" t="s">
        <v>69</v>
      </c>
      <c r="B17" s="1" t="s">
        <v>58</v>
      </c>
      <c r="C17" s="1" t="s">
        <v>59</v>
      </c>
      <c r="D17" s="1" t="s">
        <v>60</v>
      </c>
      <c r="E17" s="1" t="s">
        <v>54</v>
      </c>
      <c r="F17" s="213">
        <v>1136.356394668763</v>
      </c>
    </row>
    <row r="18" spans="1:6" ht="13.15">
      <c r="A18" s="1" t="s">
        <v>70</v>
      </c>
      <c r="B18" s="1" t="s">
        <v>58</v>
      </c>
      <c r="C18" s="1" t="s">
        <v>59</v>
      </c>
      <c r="D18" s="1" t="s">
        <v>60</v>
      </c>
      <c r="E18" s="1" t="s">
        <v>54</v>
      </c>
      <c r="F18" s="213">
        <v>3120.0505199328545</v>
      </c>
    </row>
    <row r="19" spans="1:6" ht="13.15">
      <c r="A19" s="1" t="s">
        <v>71</v>
      </c>
      <c r="B19" s="1" t="s">
        <v>58</v>
      </c>
      <c r="C19" s="1" t="s">
        <v>59</v>
      </c>
      <c r="D19" s="1" t="s">
        <v>60</v>
      </c>
      <c r="E19" s="1" t="s">
        <v>54</v>
      </c>
      <c r="F19" s="213">
        <v>2157.018576495831</v>
      </c>
    </row>
    <row r="20" spans="1:6" ht="13.15">
      <c r="A20" s="1" t="s">
        <v>72</v>
      </c>
      <c r="B20" s="1" t="s">
        <v>58</v>
      </c>
      <c r="C20" s="1" t="s">
        <v>59</v>
      </c>
      <c r="D20" s="1" t="s">
        <v>60</v>
      </c>
      <c r="E20" s="1" t="s">
        <v>54</v>
      </c>
      <c r="F20" s="213">
        <v>688.95472484052561</v>
      </c>
    </row>
    <row r="21" spans="1:6" ht="13.15">
      <c r="A21" s="1" t="s">
        <v>73</v>
      </c>
      <c r="B21" s="1" t="s">
        <v>58</v>
      </c>
      <c r="C21" s="1" t="s">
        <v>59</v>
      </c>
      <c r="D21" s="1" t="s">
        <v>60</v>
      </c>
      <c r="E21" s="1" t="s">
        <v>54</v>
      </c>
      <c r="F21" s="213">
        <v>341.669282565</v>
      </c>
    </row>
    <row r="22" spans="1:6" ht="13.15">
      <c r="A22" s="1" t="s">
        <v>74</v>
      </c>
      <c r="B22" s="1" t="s">
        <v>58</v>
      </c>
      <c r="C22" s="1" t="s">
        <v>59</v>
      </c>
      <c r="D22" s="1" t="s">
        <v>60</v>
      </c>
      <c r="E22" s="1" t="s">
        <v>54</v>
      </c>
      <c r="F22" s="213">
        <v>1862.8372246509668</v>
      </c>
    </row>
    <row r="23" spans="1:6" ht="13.15">
      <c r="A23" s="1" t="s">
        <v>75</v>
      </c>
      <c r="B23" s="1" t="s">
        <v>58</v>
      </c>
      <c r="C23" s="1" t="s">
        <v>59</v>
      </c>
      <c r="D23" s="1" t="s">
        <v>60</v>
      </c>
      <c r="E23" s="1" t="s">
        <v>54</v>
      </c>
      <c r="F23" s="213">
        <v>737.95943386381316</v>
      </c>
    </row>
    <row r="24" spans="1:6" ht="13.15">
      <c r="A24" s="1" t="s">
        <v>76</v>
      </c>
      <c r="B24" s="1" t="s">
        <v>58</v>
      </c>
      <c r="C24" s="1" t="s">
        <v>59</v>
      </c>
      <c r="D24" s="1" t="s">
        <v>60</v>
      </c>
      <c r="E24" s="1" t="s">
        <v>54</v>
      </c>
      <c r="F24" s="213">
        <v>377.63539117238162</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DB8E"/>
  </sheetPr>
  <dimension ref="A1:AN24"/>
  <sheetViews>
    <sheetView zoomScale="80" zoomScaleNormal="80" workbookViewId="0"/>
  </sheetViews>
  <sheetFormatPr defaultRowHeight="12.75"/>
  <cols>
    <col min="2" max="2" width="18" bestFit="1" customWidth="1"/>
    <col min="3" max="3" width="67.140625" bestFit="1" customWidth="1"/>
    <col min="5" max="5" width="22" bestFit="1" customWidth="1"/>
  </cols>
  <sheetData>
    <row r="1" spans="1:40" s="209" customFormat="1" ht="32.85" customHeight="1">
      <c r="A1" s="210" t="e">
        <f ca="1" xml:space="preserve"> RIGHT(CELL("filename", A1), LEN(CELL("filename", A1)) - SEARCH("]", CELL("filename", A1)))</f>
        <v>#VALUE!</v>
      </c>
      <c r="B1" s="210"/>
      <c r="C1" s="210"/>
      <c r="D1" s="210"/>
      <c r="E1" s="210"/>
      <c r="F1" s="210"/>
      <c r="G1" s="210"/>
      <c r="H1" s="210"/>
      <c r="I1" s="210"/>
      <c r="J1" s="210"/>
      <c r="K1" s="210"/>
      <c r="L1" s="210"/>
      <c r="M1" s="210"/>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row>
    <row r="2" spans="1:40" ht="14.25">
      <c r="A2" s="1"/>
      <c r="B2" s="1"/>
      <c r="C2" s="68" t="s">
        <v>77</v>
      </c>
      <c r="D2" s="1"/>
      <c r="E2" s="68" t="s">
        <v>78</v>
      </c>
      <c r="F2" s="1"/>
      <c r="G2" s="1"/>
      <c r="H2" s="1"/>
      <c r="I2" s="1"/>
      <c r="J2" s="1"/>
      <c r="K2" s="1"/>
    </row>
    <row r="3" spans="1:40" ht="14.25">
      <c r="A3" s="69" t="s">
        <v>79</v>
      </c>
      <c r="B3" s="69" t="s">
        <v>80</v>
      </c>
      <c r="C3" s="69" t="s">
        <v>81</v>
      </c>
      <c r="D3" s="69" t="s">
        <v>82</v>
      </c>
      <c r="E3" s="69" t="s">
        <v>83</v>
      </c>
      <c r="F3" s="69" t="s">
        <v>84</v>
      </c>
      <c r="G3" s="69" t="s">
        <v>85</v>
      </c>
      <c r="H3" s="69" t="s">
        <v>86</v>
      </c>
      <c r="I3" s="69" t="s">
        <v>87</v>
      </c>
      <c r="J3" s="69" t="s">
        <v>88</v>
      </c>
      <c r="K3" s="1"/>
    </row>
    <row r="4" spans="1:40" ht="13.15">
      <c r="A4" s="1"/>
      <c r="B4" s="1"/>
      <c r="C4" s="1"/>
      <c r="D4" s="1"/>
      <c r="E4" s="1"/>
      <c r="F4" s="1"/>
      <c r="G4" s="1"/>
      <c r="H4" s="1"/>
      <c r="I4" s="1"/>
      <c r="J4" s="1"/>
      <c r="K4" s="1"/>
    </row>
    <row r="5" spans="1:40" ht="14.25">
      <c r="A5" s="1"/>
      <c r="B5" s="1"/>
      <c r="C5" s="1"/>
      <c r="D5" s="1"/>
      <c r="E5" s="1"/>
      <c r="F5" s="69" t="s">
        <v>54</v>
      </c>
      <c r="G5" s="69" t="s">
        <v>54</v>
      </c>
      <c r="H5" s="69" t="s">
        <v>54</v>
      </c>
      <c r="I5" s="69" t="s">
        <v>54</v>
      </c>
      <c r="J5" s="69" t="s">
        <v>54</v>
      </c>
      <c r="K5" s="224"/>
    </row>
    <row r="6" spans="1:40" ht="14.25">
      <c r="A6" s="1"/>
      <c r="B6" s="1"/>
      <c r="C6" s="1"/>
      <c r="D6" s="1"/>
      <c r="E6" s="1"/>
      <c r="F6" s="69" t="s">
        <v>55</v>
      </c>
      <c r="G6" s="69" t="s">
        <v>55</v>
      </c>
      <c r="H6" s="69" t="s">
        <v>55</v>
      </c>
      <c r="I6" s="69" t="s">
        <v>55</v>
      </c>
      <c r="J6" s="69" t="s">
        <v>55</v>
      </c>
      <c r="K6" s="224"/>
    </row>
    <row r="7" spans="1:40" ht="14.25">
      <c r="A7" s="1"/>
      <c r="B7" s="1"/>
      <c r="C7" s="1"/>
      <c r="D7" s="1"/>
      <c r="E7" s="1"/>
      <c r="F7" s="69" t="s">
        <v>56</v>
      </c>
      <c r="G7" s="69" t="s">
        <v>56</v>
      </c>
      <c r="H7" s="69" t="s">
        <v>56</v>
      </c>
      <c r="I7" s="69" t="s">
        <v>56</v>
      </c>
      <c r="J7" s="69" t="s">
        <v>56</v>
      </c>
      <c r="K7" s="69" t="s">
        <v>89</v>
      </c>
    </row>
    <row r="8" spans="1:40" ht="13.15">
      <c r="A8" s="1" t="s">
        <v>57</v>
      </c>
      <c r="B8" s="1" t="s">
        <v>90</v>
      </c>
      <c r="C8" s="1" t="s">
        <v>91</v>
      </c>
      <c r="D8" s="1" t="s">
        <v>60</v>
      </c>
      <c r="E8" s="1" t="s">
        <v>54</v>
      </c>
      <c r="F8" s="213">
        <v>0</v>
      </c>
      <c r="G8" s="213">
        <v>0</v>
      </c>
      <c r="H8" s="213">
        <v>0</v>
      </c>
      <c r="I8" s="213">
        <v>0</v>
      </c>
      <c r="J8" s="213">
        <v>0</v>
      </c>
      <c r="K8" s="214">
        <f>SUM(F8:J8)</f>
        <v>0</v>
      </c>
    </row>
    <row r="9" spans="1:40" ht="13.15">
      <c r="A9" s="1" t="s">
        <v>61</v>
      </c>
      <c r="B9" s="1" t="s">
        <v>90</v>
      </c>
      <c r="C9" s="1" t="s">
        <v>91</v>
      </c>
      <c r="D9" s="1" t="s">
        <v>60</v>
      </c>
      <c r="E9" s="1" t="s">
        <v>54</v>
      </c>
      <c r="F9" s="213">
        <v>0</v>
      </c>
      <c r="G9" s="213">
        <v>0</v>
      </c>
      <c r="H9" s="213">
        <v>0</v>
      </c>
      <c r="I9" s="213">
        <v>0</v>
      </c>
      <c r="J9" s="213">
        <v>0</v>
      </c>
      <c r="K9" s="214">
        <f t="shared" ref="K9:K24" si="0">SUM(F9:J9)</f>
        <v>0</v>
      </c>
    </row>
    <row r="10" spans="1:40" ht="13.15">
      <c r="A10" s="1" t="s">
        <v>62</v>
      </c>
      <c r="B10" s="1" t="s">
        <v>90</v>
      </c>
      <c r="C10" s="1" t="s">
        <v>91</v>
      </c>
      <c r="D10" s="1" t="s">
        <v>60</v>
      </c>
      <c r="E10" s="1" t="s">
        <v>54</v>
      </c>
      <c r="F10" s="213">
        <v>0</v>
      </c>
      <c r="G10" s="213">
        <v>0</v>
      </c>
      <c r="H10" s="213">
        <v>0</v>
      </c>
      <c r="I10" s="213">
        <v>0</v>
      </c>
      <c r="J10" s="213">
        <v>0</v>
      </c>
      <c r="K10" s="214">
        <f t="shared" si="0"/>
        <v>0</v>
      </c>
    </row>
    <row r="11" spans="1:40" ht="13.15">
      <c r="A11" s="1" t="s">
        <v>63</v>
      </c>
      <c r="B11" s="1" t="s">
        <v>90</v>
      </c>
      <c r="C11" s="1" t="s">
        <v>91</v>
      </c>
      <c r="D11" s="1" t="s">
        <v>60</v>
      </c>
      <c r="E11" s="1" t="s">
        <v>54</v>
      </c>
      <c r="F11" s="213">
        <v>0.56999999999999995</v>
      </c>
      <c r="G11" s="213">
        <v>0.75</v>
      </c>
      <c r="H11" s="213">
        <v>0.47</v>
      </c>
      <c r="I11" s="213">
        <v>0.51</v>
      </c>
      <c r="J11" s="213">
        <v>0.59</v>
      </c>
      <c r="K11" s="214">
        <f t="shared" si="0"/>
        <v>2.8899999999999997</v>
      </c>
    </row>
    <row r="12" spans="1:40" ht="13.15">
      <c r="A12" s="1" t="s">
        <v>64</v>
      </c>
      <c r="B12" s="1" t="s">
        <v>90</v>
      </c>
      <c r="C12" s="1" t="s">
        <v>91</v>
      </c>
      <c r="D12" s="1" t="s">
        <v>60</v>
      </c>
      <c r="E12" s="1" t="s">
        <v>54</v>
      </c>
      <c r="F12" s="213">
        <v>0</v>
      </c>
      <c r="G12" s="213">
        <v>0</v>
      </c>
      <c r="H12" s="213">
        <v>0</v>
      </c>
      <c r="I12" s="213">
        <v>0</v>
      </c>
      <c r="J12" s="213">
        <v>0</v>
      </c>
      <c r="K12" s="214">
        <f t="shared" si="0"/>
        <v>0</v>
      </c>
    </row>
    <row r="13" spans="1:40" ht="13.15">
      <c r="A13" s="1" t="s">
        <v>65</v>
      </c>
      <c r="B13" s="1" t="s">
        <v>90</v>
      </c>
      <c r="C13" s="1" t="s">
        <v>91</v>
      </c>
      <c r="D13" s="1" t="s">
        <v>60</v>
      </c>
      <c r="E13" s="1" t="s">
        <v>54</v>
      </c>
      <c r="F13" s="213">
        <v>0</v>
      </c>
      <c r="G13" s="213">
        <v>0</v>
      </c>
      <c r="H13" s="213">
        <v>0</v>
      </c>
      <c r="I13" s="213">
        <v>0</v>
      </c>
      <c r="J13" s="213">
        <v>0</v>
      </c>
      <c r="K13" s="214">
        <f t="shared" si="0"/>
        <v>0</v>
      </c>
    </row>
    <row r="14" spans="1:40" ht="13.15">
      <c r="A14" s="1" t="s">
        <v>66</v>
      </c>
      <c r="B14" s="1" t="s">
        <v>90</v>
      </c>
      <c r="C14" s="1" t="s">
        <v>91</v>
      </c>
      <c r="D14" s="1" t="s">
        <v>60</v>
      </c>
      <c r="E14" s="1" t="s">
        <v>54</v>
      </c>
      <c r="F14" s="213">
        <v>61.765000000000001</v>
      </c>
      <c r="G14" s="213">
        <v>89.454000000000008</v>
      </c>
      <c r="H14" s="213">
        <v>85.296999999999997</v>
      </c>
      <c r="I14" s="213">
        <v>45.665999999999997</v>
      </c>
      <c r="J14" s="213">
        <v>38.700000000000003</v>
      </c>
      <c r="K14" s="214">
        <f t="shared" si="0"/>
        <v>320.88200000000001</v>
      </c>
    </row>
    <row r="15" spans="1:40" ht="13.15">
      <c r="A15" s="1" t="s">
        <v>67</v>
      </c>
      <c r="B15" s="1" t="s">
        <v>90</v>
      </c>
      <c r="C15" s="1" t="s">
        <v>91</v>
      </c>
      <c r="D15" s="1" t="s">
        <v>60</v>
      </c>
      <c r="E15" s="1" t="s">
        <v>54</v>
      </c>
      <c r="F15" s="213">
        <v>0</v>
      </c>
      <c r="G15" s="213">
        <v>0</v>
      </c>
      <c r="H15" s="213">
        <v>0</v>
      </c>
      <c r="I15" s="213">
        <v>0</v>
      </c>
      <c r="J15" s="213">
        <v>0</v>
      </c>
      <c r="K15" s="214">
        <f t="shared" si="0"/>
        <v>0</v>
      </c>
    </row>
    <row r="16" spans="1:40" ht="13.15">
      <c r="A16" s="1" t="s">
        <v>68</v>
      </c>
      <c r="B16" s="1" t="s">
        <v>90</v>
      </c>
      <c r="C16" s="1" t="s">
        <v>91</v>
      </c>
      <c r="D16" s="1" t="s">
        <v>60</v>
      </c>
      <c r="E16" s="1" t="s">
        <v>54</v>
      </c>
      <c r="F16" s="213">
        <v>0</v>
      </c>
      <c r="G16" s="213">
        <v>0</v>
      </c>
      <c r="H16" s="213">
        <v>0</v>
      </c>
      <c r="I16" s="213">
        <v>0</v>
      </c>
      <c r="J16" s="213">
        <v>0</v>
      </c>
      <c r="K16" s="214">
        <f t="shared" si="0"/>
        <v>0</v>
      </c>
    </row>
    <row r="17" spans="1:11" ht="13.15">
      <c r="A17" s="1" t="s">
        <v>69</v>
      </c>
      <c r="B17" s="1" t="s">
        <v>90</v>
      </c>
      <c r="C17" s="1" t="s">
        <v>91</v>
      </c>
      <c r="D17" s="1" t="s">
        <v>60</v>
      </c>
      <c r="E17" s="1" t="s">
        <v>54</v>
      </c>
      <c r="F17" s="213">
        <v>12.24</v>
      </c>
      <c r="G17" s="213">
        <v>10.832000000000001</v>
      </c>
      <c r="H17" s="213">
        <v>17.262</v>
      </c>
      <c r="I17" s="213">
        <v>17.911000000000001</v>
      </c>
      <c r="J17" s="213">
        <v>14.032999999999999</v>
      </c>
      <c r="K17" s="214">
        <f t="shared" si="0"/>
        <v>72.278000000000006</v>
      </c>
    </row>
    <row r="18" spans="1:11" ht="13.15">
      <c r="A18" s="1" t="s">
        <v>70</v>
      </c>
      <c r="B18" s="1" t="s">
        <v>90</v>
      </c>
      <c r="C18" s="1" t="s">
        <v>91</v>
      </c>
      <c r="D18" s="1" t="s">
        <v>60</v>
      </c>
      <c r="E18" s="1" t="s">
        <v>54</v>
      </c>
      <c r="F18" s="213">
        <v>3.6001280000000011</v>
      </c>
      <c r="G18" s="213">
        <v>5.6195584000000007</v>
      </c>
      <c r="H18" s="213">
        <v>6.6072320000000007</v>
      </c>
      <c r="I18" s="213">
        <v>9.9250176000000003</v>
      </c>
      <c r="J18" s="213">
        <v>9.6804608000000023</v>
      </c>
      <c r="K18" s="214">
        <f t="shared" si="0"/>
        <v>35.432396800000006</v>
      </c>
    </row>
    <row r="19" spans="1:11" ht="13.15">
      <c r="A19" s="1" t="s">
        <v>71</v>
      </c>
      <c r="B19" s="1" t="s">
        <v>90</v>
      </c>
      <c r="C19" s="1" t="s">
        <v>91</v>
      </c>
      <c r="D19" s="1" t="s">
        <v>60</v>
      </c>
      <c r="E19" s="1" t="s">
        <v>54</v>
      </c>
      <c r="F19" s="213">
        <v>18.335000000000001</v>
      </c>
      <c r="G19" s="213">
        <v>18.786999999999999</v>
      </c>
      <c r="H19" s="213">
        <v>19.172999999999998</v>
      </c>
      <c r="I19" s="213">
        <v>11.356</v>
      </c>
      <c r="J19" s="213">
        <v>6.2060000000000004</v>
      </c>
      <c r="K19" s="214">
        <f t="shared" si="0"/>
        <v>73.856999999999999</v>
      </c>
    </row>
    <row r="20" spans="1:11" ht="13.15">
      <c r="A20" s="1" t="s">
        <v>72</v>
      </c>
      <c r="B20" s="1" t="s">
        <v>90</v>
      </c>
      <c r="C20" s="1" t="s">
        <v>91</v>
      </c>
      <c r="D20" s="1" t="s">
        <v>60</v>
      </c>
      <c r="E20" s="1" t="s">
        <v>54</v>
      </c>
      <c r="F20" s="213">
        <v>0</v>
      </c>
      <c r="G20" s="213">
        <v>0</v>
      </c>
      <c r="H20" s="213">
        <v>0</v>
      </c>
      <c r="I20" s="213">
        <v>0</v>
      </c>
      <c r="J20" s="213">
        <v>0</v>
      </c>
      <c r="K20" s="214">
        <f t="shared" si="0"/>
        <v>0</v>
      </c>
    </row>
    <row r="21" spans="1:11" ht="13.15">
      <c r="A21" s="1" t="s">
        <v>73</v>
      </c>
      <c r="B21" s="1" t="s">
        <v>90</v>
      </c>
      <c r="C21" s="1" t="s">
        <v>91</v>
      </c>
      <c r="D21" s="1" t="s">
        <v>60</v>
      </c>
      <c r="E21" s="1" t="s">
        <v>54</v>
      </c>
      <c r="F21" s="213">
        <v>0</v>
      </c>
      <c r="G21" s="213">
        <v>0</v>
      </c>
      <c r="H21" s="213">
        <v>0</v>
      </c>
      <c r="I21" s="213">
        <v>0</v>
      </c>
      <c r="J21" s="213">
        <v>0</v>
      </c>
      <c r="K21" s="214">
        <f t="shared" si="0"/>
        <v>0</v>
      </c>
    </row>
    <row r="22" spans="1:11" ht="13.15">
      <c r="A22" s="1" t="s">
        <v>74</v>
      </c>
      <c r="B22" s="1" t="s">
        <v>90</v>
      </c>
      <c r="C22" s="1" t="s">
        <v>91</v>
      </c>
      <c r="D22" s="1" t="s">
        <v>60</v>
      </c>
      <c r="E22" s="1" t="s">
        <v>54</v>
      </c>
      <c r="F22" s="213">
        <v>12.357692999999999</v>
      </c>
      <c r="G22" s="213">
        <v>21.572154000000001</v>
      </c>
      <c r="H22" s="213">
        <v>16.469982000000002</v>
      </c>
      <c r="I22" s="213">
        <v>7.17</v>
      </c>
      <c r="J22" s="213">
        <v>3.02</v>
      </c>
      <c r="K22" s="214">
        <f t="shared" si="0"/>
        <v>60.589829000000009</v>
      </c>
    </row>
    <row r="23" spans="1:11" ht="13.15">
      <c r="A23" s="1" t="s">
        <v>75</v>
      </c>
      <c r="B23" s="1" t="s">
        <v>90</v>
      </c>
      <c r="C23" s="1" t="s">
        <v>91</v>
      </c>
      <c r="D23" s="1" t="s">
        <v>60</v>
      </c>
      <c r="E23" s="1" t="s">
        <v>54</v>
      </c>
      <c r="F23" s="213">
        <v>0.33</v>
      </c>
      <c r="G23" s="213">
        <v>0.66</v>
      </c>
      <c r="H23" s="213">
        <v>0.99</v>
      </c>
      <c r="I23" s="213">
        <v>0.99</v>
      </c>
      <c r="J23" s="213">
        <v>0.33</v>
      </c>
      <c r="K23" s="214">
        <f t="shared" si="0"/>
        <v>3.3</v>
      </c>
    </row>
    <row r="24" spans="1:11" ht="13.15">
      <c r="A24" s="1" t="s">
        <v>76</v>
      </c>
      <c r="B24" s="1" t="s">
        <v>90</v>
      </c>
      <c r="C24" s="1" t="s">
        <v>91</v>
      </c>
      <c r="D24" s="1" t="s">
        <v>60</v>
      </c>
      <c r="E24" s="1" t="s">
        <v>54</v>
      </c>
      <c r="F24" s="213">
        <v>0</v>
      </c>
      <c r="G24" s="213">
        <v>0</v>
      </c>
      <c r="H24" s="213">
        <v>0</v>
      </c>
      <c r="I24" s="213">
        <v>0</v>
      </c>
      <c r="J24" s="213">
        <v>0</v>
      </c>
      <c r="K24" s="214">
        <f t="shared" si="0"/>
        <v>0</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55C3ED-D969-4228-A869-20CEAEF9DD0E}">
  <sheetPr codeName="Sheet1">
    <tabColor rgb="FFFFDB8E"/>
  </sheetPr>
  <dimension ref="A1:AN51"/>
  <sheetViews>
    <sheetView zoomScale="80" zoomScaleNormal="80" workbookViewId="0"/>
  </sheetViews>
  <sheetFormatPr defaultRowHeight="13.15"/>
  <cols>
    <col min="1" max="1" width="15.7109375" customWidth="1"/>
    <col min="2" max="2" width="28" bestFit="1" customWidth="1"/>
    <col min="3" max="3" width="4.140625" bestFit="1" customWidth="1"/>
    <col min="4" max="9" width="8" customWidth="1"/>
    <col min="10" max="10" width="22.28515625" bestFit="1" customWidth="1"/>
    <col min="11" max="11" width="18.5703125" bestFit="1" customWidth="1"/>
    <col min="12" max="12" width="24" bestFit="1" customWidth="1"/>
    <col min="14" max="14" width="17.85546875" style="1" bestFit="1" customWidth="1"/>
    <col min="15" max="15" width="9" style="1"/>
    <col min="16" max="16" width="14.140625" style="1" bestFit="1" customWidth="1"/>
    <col min="17" max="24" width="9" style="1"/>
  </cols>
  <sheetData>
    <row r="1" spans="1:40" s="209" customFormat="1" ht="32.85" customHeight="1">
      <c r="A1" s="210" t="e">
        <f ca="1" xml:space="preserve"> RIGHT(CELL("filename", A1), LEN(CELL("filename", A1)) - SEARCH("]", CELL("filename", A1)))</f>
        <v>#VALUE!</v>
      </c>
      <c r="B1" s="210"/>
      <c r="C1" s="210"/>
      <c r="D1" s="210"/>
      <c r="E1" s="210"/>
      <c r="F1" s="210"/>
      <c r="G1" s="210"/>
      <c r="H1" s="210"/>
      <c r="I1" s="210"/>
      <c r="J1" s="210"/>
      <c r="K1" s="210"/>
      <c r="L1" s="210"/>
      <c r="M1" s="210"/>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row>
    <row r="3" spans="1:40" s="1" customFormat="1">
      <c r="A3" s="19" t="s">
        <v>92</v>
      </c>
      <c r="B3" s="19" t="s">
        <v>93</v>
      </c>
      <c r="C3" s="19" t="s">
        <v>82</v>
      </c>
      <c r="D3" s="19" t="s">
        <v>94</v>
      </c>
      <c r="E3" s="19" t="s">
        <v>95</v>
      </c>
      <c r="F3" s="19" t="s">
        <v>96</v>
      </c>
      <c r="G3" s="19" t="s">
        <v>97</v>
      </c>
      <c r="H3" s="19" t="s">
        <v>98</v>
      </c>
      <c r="I3" s="19" t="s">
        <v>89</v>
      </c>
      <c r="J3" s="19" t="s">
        <v>99</v>
      </c>
      <c r="K3" s="19" t="s">
        <v>100</v>
      </c>
      <c r="L3" s="19" t="s">
        <v>101</v>
      </c>
    </row>
    <row r="4" spans="1:40" s="1" customFormat="1">
      <c r="A4" s="16" t="s">
        <v>71</v>
      </c>
      <c r="B4" s="16" t="s">
        <v>102</v>
      </c>
      <c r="C4" s="20" t="s">
        <v>60</v>
      </c>
      <c r="D4" s="24">
        <v>7.1029999999999998</v>
      </c>
      <c r="E4" s="24">
        <v>7.4240000000000004</v>
      </c>
      <c r="F4" s="24">
        <v>8.3010000000000002</v>
      </c>
      <c r="G4" s="24">
        <v>8.9710000000000001</v>
      </c>
      <c r="H4" s="24">
        <v>3.7810000000000001</v>
      </c>
      <c r="I4" s="24">
        <f t="shared" ref="I4:I41" si="0">SUM(D4:H4)</f>
        <v>35.580000000000005</v>
      </c>
      <c r="J4" s="16" t="s">
        <v>103</v>
      </c>
      <c r="K4" s="5" t="s">
        <v>104</v>
      </c>
      <c r="L4" s="16" t="s">
        <v>105</v>
      </c>
      <c r="Q4" s="42"/>
    </row>
    <row r="5" spans="1:40" s="1" customFormat="1">
      <c r="A5" s="16" t="s">
        <v>71</v>
      </c>
      <c r="B5" s="16" t="s">
        <v>106</v>
      </c>
      <c r="C5" s="20" t="s">
        <v>60</v>
      </c>
      <c r="D5" s="24">
        <v>6.6539999999999999</v>
      </c>
      <c r="E5" s="24">
        <v>10.971</v>
      </c>
      <c r="F5" s="24">
        <v>4.8559999999999999</v>
      </c>
      <c r="G5" s="24">
        <v>2.3559999999999999</v>
      </c>
      <c r="H5" s="24">
        <v>0</v>
      </c>
      <c r="I5" s="24">
        <f t="shared" si="0"/>
        <v>24.837000000000003</v>
      </c>
      <c r="J5" s="16" t="s">
        <v>107</v>
      </c>
      <c r="K5" s="5" t="s">
        <v>104</v>
      </c>
      <c r="L5" s="16" t="s">
        <v>105</v>
      </c>
      <c r="Q5" s="115"/>
    </row>
    <row r="6" spans="1:40" s="1" customFormat="1">
      <c r="A6" s="16" t="s">
        <v>71</v>
      </c>
      <c r="B6" s="16" t="s">
        <v>108</v>
      </c>
      <c r="C6" s="20" t="s">
        <v>60</v>
      </c>
      <c r="D6" s="24">
        <v>1.62</v>
      </c>
      <c r="E6" s="24">
        <v>2.91</v>
      </c>
      <c r="F6" s="24">
        <v>1.2849999999999999</v>
      </c>
      <c r="G6" s="24">
        <v>0</v>
      </c>
      <c r="H6" s="24">
        <v>0</v>
      </c>
      <c r="I6" s="24">
        <f t="shared" si="0"/>
        <v>5.8150000000000004</v>
      </c>
      <c r="J6" s="16" t="s">
        <v>107</v>
      </c>
      <c r="K6" s="5" t="s">
        <v>104</v>
      </c>
      <c r="L6" s="16" t="s">
        <v>105</v>
      </c>
      <c r="Q6" s="42"/>
    </row>
    <row r="7" spans="1:40" s="1" customFormat="1">
      <c r="A7" s="16" t="s">
        <v>71</v>
      </c>
      <c r="B7" s="16" t="s">
        <v>109</v>
      </c>
      <c r="C7" s="20" t="s">
        <v>60</v>
      </c>
      <c r="D7" s="24">
        <v>0.5</v>
      </c>
      <c r="E7" s="24">
        <v>1</v>
      </c>
      <c r="F7" s="24">
        <v>1.3049999999999999</v>
      </c>
      <c r="G7" s="24">
        <v>1.859</v>
      </c>
      <c r="H7" s="24">
        <v>1.484</v>
      </c>
      <c r="I7" s="24">
        <f t="shared" si="0"/>
        <v>6.1479999999999997</v>
      </c>
      <c r="J7" s="16" t="s">
        <v>107</v>
      </c>
      <c r="K7" s="5" t="s">
        <v>104</v>
      </c>
      <c r="L7" s="16" t="s">
        <v>105</v>
      </c>
      <c r="Q7" s="42"/>
    </row>
    <row r="8" spans="1:40" s="1" customFormat="1">
      <c r="A8" s="16" t="s">
        <v>57</v>
      </c>
      <c r="B8" s="16" t="s">
        <v>110</v>
      </c>
      <c r="C8" s="20" t="s">
        <v>60</v>
      </c>
      <c r="D8" s="24">
        <v>7.1501999999999999</v>
      </c>
      <c r="E8" s="24">
        <v>14.721</v>
      </c>
      <c r="F8" s="24">
        <v>18.296099999999999</v>
      </c>
      <c r="G8" s="24">
        <v>11.5665</v>
      </c>
      <c r="H8" s="24">
        <v>0.84119999999999995</v>
      </c>
      <c r="I8" s="24">
        <f t="shared" si="0"/>
        <v>52.574999999999996</v>
      </c>
      <c r="J8" s="16" t="s">
        <v>111</v>
      </c>
      <c r="K8" s="5" t="s">
        <v>112</v>
      </c>
      <c r="L8" s="16" t="s">
        <v>113</v>
      </c>
      <c r="Q8" s="42"/>
    </row>
    <row r="9" spans="1:40" s="1" customFormat="1">
      <c r="A9" s="16" t="s">
        <v>57</v>
      </c>
      <c r="B9" s="16" t="s">
        <v>114</v>
      </c>
      <c r="C9" s="20" t="s">
        <v>60</v>
      </c>
      <c r="D9" s="24">
        <v>0</v>
      </c>
      <c r="E9" s="24">
        <v>0</v>
      </c>
      <c r="F9" s="24">
        <v>0</v>
      </c>
      <c r="G9" s="24">
        <v>0</v>
      </c>
      <c r="H9" s="24">
        <v>7.71</v>
      </c>
      <c r="I9" s="24">
        <f t="shared" si="0"/>
        <v>7.71</v>
      </c>
      <c r="J9" s="16" t="s">
        <v>111</v>
      </c>
      <c r="K9" s="5" t="s">
        <v>115</v>
      </c>
      <c r="L9" s="16" t="s">
        <v>113</v>
      </c>
      <c r="Q9" s="42"/>
    </row>
    <row r="10" spans="1:40" s="1" customFormat="1">
      <c r="A10" s="16" t="s">
        <v>57</v>
      </c>
      <c r="B10" s="16" t="s">
        <v>116</v>
      </c>
      <c r="C10" s="20" t="s">
        <v>60</v>
      </c>
      <c r="D10" s="24">
        <v>29.321707</v>
      </c>
      <c r="E10" s="24">
        <v>14.359567999999999</v>
      </c>
      <c r="F10" s="24">
        <v>59.773091000000001</v>
      </c>
      <c r="G10" s="24">
        <v>58.325636000000003</v>
      </c>
      <c r="H10" s="24">
        <v>31.438148999999999</v>
      </c>
      <c r="I10" s="24">
        <f t="shared" si="0"/>
        <v>193.21815100000001</v>
      </c>
      <c r="J10" s="16" t="s">
        <v>111</v>
      </c>
      <c r="K10" s="5" t="s">
        <v>115</v>
      </c>
      <c r="L10" s="16" t="s">
        <v>113</v>
      </c>
      <c r="P10" s="155"/>
      <c r="Q10" s="42"/>
    </row>
    <row r="11" spans="1:40" s="1" customFormat="1">
      <c r="A11" s="16" t="s">
        <v>57</v>
      </c>
      <c r="B11" s="16" t="s">
        <v>117</v>
      </c>
      <c r="C11" s="20" t="s">
        <v>60</v>
      </c>
      <c r="D11" s="24">
        <v>131.27121700000001</v>
      </c>
      <c r="E11" s="24">
        <v>138.082112</v>
      </c>
      <c r="F11" s="24">
        <v>116.706908</v>
      </c>
      <c r="G11" s="24">
        <v>72.205033999999998</v>
      </c>
      <c r="H11" s="24">
        <v>1.8464469999999999</v>
      </c>
      <c r="I11" s="24">
        <f t="shared" si="0"/>
        <v>460.11171800000005</v>
      </c>
      <c r="J11" s="16" t="s">
        <v>111</v>
      </c>
      <c r="K11" s="5" t="s">
        <v>115</v>
      </c>
      <c r="L11" s="16" t="s">
        <v>113</v>
      </c>
      <c r="Q11" s="115"/>
    </row>
    <row r="12" spans="1:40" s="1" customFormat="1">
      <c r="A12" s="16" t="s">
        <v>63</v>
      </c>
      <c r="B12" s="16" t="s">
        <v>118</v>
      </c>
      <c r="C12" s="20" t="s">
        <v>60</v>
      </c>
      <c r="D12" s="24">
        <v>0.56999999999999995</v>
      </c>
      <c r="E12" s="24">
        <v>0.75</v>
      </c>
      <c r="F12" s="24">
        <v>0.47</v>
      </c>
      <c r="G12" s="24">
        <v>0.51</v>
      </c>
      <c r="H12" s="24">
        <v>0.59</v>
      </c>
      <c r="I12" s="24">
        <f t="shared" si="0"/>
        <v>2.8899999999999997</v>
      </c>
      <c r="J12" s="16" t="s">
        <v>119</v>
      </c>
      <c r="K12" s="5" t="s">
        <v>104</v>
      </c>
      <c r="L12" s="16" t="s">
        <v>105</v>
      </c>
      <c r="Q12" s="42"/>
    </row>
    <row r="13" spans="1:40" s="1" customFormat="1">
      <c r="A13" s="16" t="s">
        <v>74</v>
      </c>
      <c r="B13" s="16" t="s">
        <v>120</v>
      </c>
      <c r="C13" s="20" t="s">
        <v>60</v>
      </c>
      <c r="D13" s="24">
        <v>13.773</v>
      </c>
      <c r="E13" s="24">
        <v>11.358000000000001</v>
      </c>
      <c r="F13" s="24">
        <v>7.5439999999999996</v>
      </c>
      <c r="G13" s="24">
        <v>5.4260000000000002</v>
      </c>
      <c r="H13" s="24">
        <v>22.849</v>
      </c>
      <c r="I13" s="24">
        <f t="shared" si="0"/>
        <v>60.95</v>
      </c>
      <c r="J13" s="16" t="s">
        <v>121</v>
      </c>
      <c r="K13" s="5" t="s">
        <v>104</v>
      </c>
      <c r="L13" s="16" t="s">
        <v>105</v>
      </c>
      <c r="Q13" s="42"/>
    </row>
    <row r="14" spans="1:40" s="1" customFormat="1">
      <c r="A14" s="16" t="s">
        <v>64</v>
      </c>
      <c r="B14" s="16" t="s">
        <v>122</v>
      </c>
      <c r="C14" s="20" t="s">
        <v>60</v>
      </c>
      <c r="D14" s="24">
        <v>0.5</v>
      </c>
      <c r="E14" s="24">
        <v>0.5</v>
      </c>
      <c r="F14" s="24">
        <v>0.5</v>
      </c>
      <c r="G14" s="24">
        <v>0.5</v>
      </c>
      <c r="H14" s="24">
        <v>0.5</v>
      </c>
      <c r="I14" s="24">
        <f t="shared" si="0"/>
        <v>2.5</v>
      </c>
      <c r="J14" s="16" t="s">
        <v>123</v>
      </c>
      <c r="K14" s="5" t="s">
        <v>112</v>
      </c>
      <c r="L14" s="16" t="s">
        <v>113</v>
      </c>
      <c r="Q14" s="115"/>
    </row>
    <row r="15" spans="1:40" s="1" customFormat="1">
      <c r="A15" s="16" t="s">
        <v>64</v>
      </c>
      <c r="B15" s="16" t="s">
        <v>106</v>
      </c>
      <c r="C15" s="20" t="s">
        <v>60</v>
      </c>
      <c r="D15" s="24">
        <v>5.78</v>
      </c>
      <c r="E15" s="24">
        <v>7.08</v>
      </c>
      <c r="F15" s="24">
        <v>2.36</v>
      </c>
      <c r="G15" s="24">
        <v>2.35</v>
      </c>
      <c r="H15" s="24">
        <v>0</v>
      </c>
      <c r="I15" s="24">
        <f t="shared" si="0"/>
        <v>17.57</v>
      </c>
      <c r="J15" s="16" t="s">
        <v>123</v>
      </c>
      <c r="K15" s="5" t="s">
        <v>112</v>
      </c>
      <c r="L15" s="16" t="s">
        <v>113</v>
      </c>
      <c r="Q15" s="115"/>
    </row>
    <row r="16" spans="1:40" s="1" customFormat="1">
      <c r="A16" s="16" t="s">
        <v>64</v>
      </c>
      <c r="B16" s="16" t="s">
        <v>108</v>
      </c>
      <c r="C16" s="20" t="s">
        <v>60</v>
      </c>
      <c r="D16" s="24">
        <v>3.24</v>
      </c>
      <c r="E16" s="24">
        <v>5.82</v>
      </c>
      <c r="F16" s="24">
        <v>2.57</v>
      </c>
      <c r="G16" s="24">
        <v>0</v>
      </c>
      <c r="H16" s="24">
        <v>0</v>
      </c>
      <c r="I16" s="24">
        <f t="shared" si="0"/>
        <v>11.63</v>
      </c>
      <c r="J16" s="16" t="s">
        <v>123</v>
      </c>
      <c r="K16" s="5" t="s">
        <v>112</v>
      </c>
      <c r="L16" s="16" t="s">
        <v>113</v>
      </c>
      <c r="Q16" s="42"/>
    </row>
    <row r="17" spans="1:12" s="1" customFormat="1">
      <c r="A17" s="16" t="s">
        <v>64</v>
      </c>
      <c r="B17" s="16" t="s">
        <v>124</v>
      </c>
      <c r="C17" s="20" t="s">
        <v>60</v>
      </c>
      <c r="D17" s="24">
        <v>0.29399999999999998</v>
      </c>
      <c r="E17" s="24">
        <v>0.29399999999999998</v>
      </c>
      <c r="F17" s="24">
        <v>0.29399999999999998</v>
      </c>
      <c r="G17" s="24">
        <v>0.29399999999999998</v>
      </c>
      <c r="H17" s="24">
        <v>0.29399999999999998</v>
      </c>
      <c r="I17" s="24">
        <f t="shared" si="0"/>
        <v>1.47</v>
      </c>
      <c r="J17" s="16" t="s">
        <v>123</v>
      </c>
      <c r="K17" s="5" t="s">
        <v>112</v>
      </c>
      <c r="L17" s="16" t="s">
        <v>113</v>
      </c>
    </row>
    <row r="18" spans="1:12" s="1" customFormat="1">
      <c r="A18" s="16" t="s">
        <v>64</v>
      </c>
      <c r="B18" s="16" t="s">
        <v>125</v>
      </c>
      <c r="C18" s="20" t="s">
        <v>60</v>
      </c>
      <c r="D18" s="24">
        <v>0</v>
      </c>
      <c r="E18" s="24">
        <v>0</v>
      </c>
      <c r="F18" s="24">
        <v>0</v>
      </c>
      <c r="G18" s="24">
        <v>0</v>
      </c>
      <c r="H18" s="24">
        <v>0</v>
      </c>
      <c r="I18" s="24">
        <f t="shared" si="0"/>
        <v>0</v>
      </c>
      <c r="J18" s="16" t="s">
        <v>126</v>
      </c>
      <c r="K18" s="5" t="s">
        <v>127</v>
      </c>
      <c r="L18" s="16" t="s">
        <v>105</v>
      </c>
    </row>
    <row r="19" spans="1:12" s="1" customFormat="1">
      <c r="A19" s="16" t="s">
        <v>64</v>
      </c>
      <c r="B19" s="16" t="s">
        <v>128</v>
      </c>
      <c r="C19" s="20" t="s">
        <v>60</v>
      </c>
      <c r="D19" s="24">
        <v>0.59099999999999997</v>
      </c>
      <c r="E19" s="24">
        <v>0.59399999999999997</v>
      </c>
      <c r="F19" s="24">
        <v>0.59799999999999998</v>
      </c>
      <c r="G19" s="24">
        <v>0.60199999999999998</v>
      </c>
      <c r="H19" s="24">
        <v>0.60499999999999998</v>
      </c>
      <c r="I19" s="24">
        <f t="shared" si="0"/>
        <v>2.9899999999999998</v>
      </c>
      <c r="J19" s="16" t="s">
        <v>129</v>
      </c>
      <c r="K19" s="5" t="s">
        <v>112</v>
      </c>
      <c r="L19" s="16" t="s">
        <v>113</v>
      </c>
    </row>
    <row r="20" spans="1:12" s="1" customFormat="1">
      <c r="A20" s="16" t="s">
        <v>64</v>
      </c>
      <c r="B20" s="16" t="s">
        <v>130</v>
      </c>
      <c r="C20" s="20" t="s">
        <v>60</v>
      </c>
      <c r="D20" s="24">
        <v>0.69299999999999995</v>
      </c>
      <c r="E20" s="24">
        <v>0.69699999999999995</v>
      </c>
      <c r="F20" s="24">
        <v>0.70099999999999996</v>
      </c>
      <c r="G20" s="24">
        <v>0.70499999999999996</v>
      </c>
      <c r="H20" s="24">
        <v>0.71</v>
      </c>
      <c r="I20" s="24">
        <f t="shared" si="0"/>
        <v>3.5059999999999998</v>
      </c>
      <c r="J20" s="16" t="s">
        <v>129</v>
      </c>
      <c r="K20" s="5" t="s">
        <v>112</v>
      </c>
      <c r="L20" s="16" t="s">
        <v>113</v>
      </c>
    </row>
    <row r="21" spans="1:12" s="1" customFormat="1">
      <c r="A21" s="16" t="s">
        <v>65</v>
      </c>
      <c r="B21" s="16" t="s">
        <v>131</v>
      </c>
      <c r="C21" s="20" t="s">
        <v>60</v>
      </c>
      <c r="D21" s="24">
        <v>3.992</v>
      </c>
      <c r="E21" s="24">
        <v>3.3719999999999999</v>
      </c>
      <c r="F21" s="24">
        <v>2.726</v>
      </c>
      <c r="G21" s="24">
        <v>2.645</v>
      </c>
      <c r="H21" s="24">
        <v>2.645</v>
      </c>
      <c r="I21" s="24">
        <f>SUM(D21:H21)</f>
        <v>15.379999999999999</v>
      </c>
      <c r="J21" s="16" t="s">
        <v>132</v>
      </c>
      <c r="K21" s="5" t="s">
        <v>112</v>
      </c>
      <c r="L21" s="16" t="s">
        <v>113</v>
      </c>
    </row>
    <row r="22" spans="1:12" s="1" customFormat="1">
      <c r="A22" s="16" t="s">
        <v>65</v>
      </c>
      <c r="B22" s="16" t="s">
        <v>133</v>
      </c>
      <c r="C22" s="20" t="s">
        <v>60</v>
      </c>
      <c r="D22" s="24">
        <v>5.452</v>
      </c>
      <c r="E22" s="24">
        <v>6.1479999999999997</v>
      </c>
      <c r="F22" s="24">
        <v>4.992</v>
      </c>
      <c r="G22" s="24">
        <v>8.9079999999999995</v>
      </c>
      <c r="H22" s="24">
        <v>8.1219999999999999</v>
      </c>
      <c r="I22" s="24">
        <f t="shared" si="0"/>
        <v>33.622</v>
      </c>
      <c r="J22" s="16" t="s">
        <v>132</v>
      </c>
      <c r="K22" s="5" t="s">
        <v>112</v>
      </c>
      <c r="L22" s="16" t="s">
        <v>113</v>
      </c>
    </row>
    <row r="23" spans="1:12" s="1" customFormat="1">
      <c r="A23" s="16" t="s">
        <v>65</v>
      </c>
      <c r="B23" s="16" t="s">
        <v>134</v>
      </c>
      <c r="C23" s="20" t="s">
        <v>60</v>
      </c>
      <c r="D23" s="24">
        <v>3.7559999999999998</v>
      </c>
      <c r="E23" s="24">
        <v>3.5859999999999999</v>
      </c>
      <c r="F23" s="24">
        <v>6.7169999999999996</v>
      </c>
      <c r="G23" s="24">
        <v>5.1849999999999996</v>
      </c>
      <c r="H23" s="24">
        <v>1.99</v>
      </c>
      <c r="I23" s="24">
        <f t="shared" si="0"/>
        <v>21.233999999999998</v>
      </c>
      <c r="J23" s="16" t="s">
        <v>132</v>
      </c>
      <c r="K23" s="5" t="s">
        <v>112</v>
      </c>
      <c r="L23" s="16" t="s">
        <v>113</v>
      </c>
    </row>
    <row r="24" spans="1:12" s="1" customFormat="1">
      <c r="A24" s="16" t="s">
        <v>65</v>
      </c>
      <c r="B24" s="16" t="s">
        <v>135</v>
      </c>
      <c r="C24" s="20" t="s">
        <v>60</v>
      </c>
      <c r="D24" s="24">
        <f>$I24/5</f>
        <v>0.13159999999999999</v>
      </c>
      <c r="E24" s="24">
        <f>$I24/5</f>
        <v>0.13159999999999999</v>
      </c>
      <c r="F24" s="24">
        <f>$I24/5</f>
        <v>0.13159999999999999</v>
      </c>
      <c r="G24" s="24">
        <f>$I24/5</f>
        <v>0.13159999999999999</v>
      </c>
      <c r="H24" s="24">
        <f>$I24/5</f>
        <v>0.13159999999999999</v>
      </c>
      <c r="I24" s="24">
        <v>0.65800000000000003</v>
      </c>
      <c r="J24" s="16" t="s">
        <v>136</v>
      </c>
      <c r="K24" s="5" t="s">
        <v>112</v>
      </c>
      <c r="L24" s="16" t="s">
        <v>113</v>
      </c>
    </row>
    <row r="25" spans="1:12" s="1" customFormat="1">
      <c r="A25" s="16" t="s">
        <v>66</v>
      </c>
      <c r="B25" s="16" t="s">
        <v>102</v>
      </c>
      <c r="C25" s="20" t="s">
        <v>60</v>
      </c>
      <c r="D25" s="24">
        <v>14.206</v>
      </c>
      <c r="E25" s="24">
        <v>14.848000000000001</v>
      </c>
      <c r="F25" s="24">
        <v>16.602</v>
      </c>
      <c r="G25" s="24">
        <v>17.942</v>
      </c>
      <c r="H25" s="24">
        <v>7.5620000000000003</v>
      </c>
      <c r="I25" s="24">
        <f>SUM(D25:H25)</f>
        <v>71.160000000000011</v>
      </c>
      <c r="J25" s="16" t="s">
        <v>137</v>
      </c>
      <c r="K25" s="5" t="s">
        <v>104</v>
      </c>
      <c r="L25" s="16" t="s">
        <v>105</v>
      </c>
    </row>
    <row r="26" spans="1:12" s="1" customFormat="1">
      <c r="A26" s="16" t="s">
        <v>66</v>
      </c>
      <c r="B26" s="16" t="s">
        <v>138</v>
      </c>
      <c r="C26" s="20" t="s">
        <v>60</v>
      </c>
      <c r="D26" s="24">
        <v>58.244</v>
      </c>
      <c r="E26" s="24">
        <v>56.027000000000001</v>
      </c>
      <c r="F26" s="24">
        <v>56.027000000000001</v>
      </c>
      <c r="G26" s="24">
        <v>11.411</v>
      </c>
      <c r="H26" s="24">
        <v>14.824999999999999</v>
      </c>
      <c r="I26" s="24">
        <f t="shared" si="0"/>
        <v>196.53399999999999</v>
      </c>
      <c r="J26" s="16" t="s">
        <v>137</v>
      </c>
      <c r="K26" s="5" t="s">
        <v>104</v>
      </c>
      <c r="L26" s="16" t="s">
        <v>105</v>
      </c>
    </row>
    <row r="27" spans="1:12" s="1" customFormat="1">
      <c r="A27" s="16" t="s">
        <v>66</v>
      </c>
      <c r="B27" s="16" t="s">
        <v>139</v>
      </c>
      <c r="C27" s="20" t="s">
        <v>60</v>
      </c>
      <c r="D27" s="24">
        <v>20.606000000000002</v>
      </c>
      <c r="E27" s="24">
        <v>18.579000000000001</v>
      </c>
      <c r="F27" s="24">
        <v>12.667999999999999</v>
      </c>
      <c r="G27" s="24">
        <v>16.312999999999999</v>
      </c>
      <c r="H27" s="24">
        <v>16.312999999999999</v>
      </c>
      <c r="I27" s="24">
        <f t="shared" si="0"/>
        <v>84.478999999999999</v>
      </c>
      <c r="J27" s="16" t="s">
        <v>137</v>
      </c>
      <c r="K27" s="5" t="s">
        <v>104</v>
      </c>
      <c r="L27" s="16" t="s">
        <v>105</v>
      </c>
    </row>
    <row r="28" spans="1:12" s="1" customFormat="1">
      <c r="A28" s="16" t="s">
        <v>67</v>
      </c>
      <c r="B28" s="16" t="s">
        <v>102</v>
      </c>
      <c r="C28" s="20" t="s">
        <v>60</v>
      </c>
      <c r="D28" s="24">
        <v>43.561</v>
      </c>
      <c r="E28" s="24">
        <v>47.74</v>
      </c>
      <c r="F28" s="24">
        <v>56.829000000000001</v>
      </c>
      <c r="G28" s="24">
        <v>79.376000000000005</v>
      </c>
      <c r="H28" s="24">
        <v>334.56400000000002</v>
      </c>
      <c r="I28" s="24">
        <f t="shared" si="0"/>
        <v>562.07000000000005</v>
      </c>
      <c r="J28" s="16" t="s">
        <v>140</v>
      </c>
      <c r="K28" s="5" t="s">
        <v>112</v>
      </c>
      <c r="L28" s="16" t="s">
        <v>113</v>
      </c>
    </row>
    <row r="29" spans="1:12" s="1" customFormat="1">
      <c r="A29" s="16" t="s">
        <v>67</v>
      </c>
      <c r="B29" s="16" t="s">
        <v>141</v>
      </c>
      <c r="C29" s="20" t="s">
        <v>60</v>
      </c>
      <c r="D29" s="24">
        <v>16.591000000000001</v>
      </c>
      <c r="E29" s="24">
        <v>15.321999999999999</v>
      </c>
      <c r="F29" s="24">
        <v>0</v>
      </c>
      <c r="G29" s="24">
        <v>0</v>
      </c>
      <c r="H29" s="24">
        <v>0</v>
      </c>
      <c r="I29" s="24">
        <f t="shared" si="0"/>
        <v>31.913</v>
      </c>
      <c r="J29" s="16" t="s">
        <v>140</v>
      </c>
      <c r="K29" s="5" t="s">
        <v>112</v>
      </c>
      <c r="L29" s="16" t="s">
        <v>113</v>
      </c>
    </row>
    <row r="30" spans="1:12" s="1" customFormat="1">
      <c r="A30" s="16" t="s">
        <v>67</v>
      </c>
      <c r="B30" s="16" t="s">
        <v>142</v>
      </c>
      <c r="C30" s="20" t="s">
        <v>60</v>
      </c>
      <c r="D30" s="24">
        <v>13.888999999999999</v>
      </c>
      <c r="E30" s="24">
        <v>13.888999999999999</v>
      </c>
      <c r="F30" s="24">
        <f>14.149-1.067</f>
        <v>13.081999999999999</v>
      </c>
      <c r="G30" s="24">
        <f>29.695-24.39</f>
        <v>5.3049999999999997</v>
      </c>
      <c r="H30" s="24">
        <f>83.942-82.16</f>
        <v>1.7819999999999965</v>
      </c>
      <c r="I30" s="24">
        <f t="shared" si="0"/>
        <v>47.946999999999996</v>
      </c>
      <c r="J30" s="16" t="s">
        <v>140</v>
      </c>
      <c r="K30" s="5" t="s">
        <v>112</v>
      </c>
      <c r="L30" s="16" t="s">
        <v>113</v>
      </c>
    </row>
    <row r="31" spans="1:12" s="1" customFormat="1">
      <c r="A31" s="16" t="s">
        <v>67</v>
      </c>
      <c r="B31" s="16" t="s">
        <v>143</v>
      </c>
      <c r="C31" s="20" t="s">
        <v>60</v>
      </c>
      <c r="D31" s="24">
        <v>2.7044482116874584</v>
      </c>
      <c r="E31" s="24">
        <v>2.8042059125410272</v>
      </c>
      <c r="F31" s="24">
        <v>12.717000000000001</v>
      </c>
      <c r="G31" s="24">
        <v>29.806000000000001</v>
      </c>
      <c r="H31" s="24">
        <v>117.131</v>
      </c>
      <c r="I31" s="24">
        <f t="shared" si="0"/>
        <v>165.16265412422848</v>
      </c>
      <c r="J31" s="16" t="s">
        <v>140</v>
      </c>
      <c r="K31" s="5" t="s">
        <v>112</v>
      </c>
      <c r="L31" s="16" t="s">
        <v>113</v>
      </c>
    </row>
    <row r="32" spans="1:12" s="1" customFormat="1">
      <c r="A32" s="16" t="s">
        <v>67</v>
      </c>
      <c r="B32" s="16" t="s">
        <v>122</v>
      </c>
      <c r="C32" s="20" t="s">
        <v>60</v>
      </c>
      <c r="D32" s="24">
        <v>4.0179999999999998</v>
      </c>
      <c r="E32" s="24">
        <v>4.0359999999999996</v>
      </c>
      <c r="F32" s="24">
        <v>9.8030000000000008</v>
      </c>
      <c r="G32" s="24">
        <v>15.622</v>
      </c>
      <c r="H32" s="24">
        <v>15.692</v>
      </c>
      <c r="I32" s="24">
        <f t="shared" si="0"/>
        <v>49.170999999999999</v>
      </c>
      <c r="J32" s="16" t="s">
        <v>140</v>
      </c>
      <c r="K32" s="5" t="s">
        <v>112</v>
      </c>
      <c r="L32" s="16" t="s">
        <v>113</v>
      </c>
    </row>
    <row r="33" spans="1:12" s="1" customFormat="1">
      <c r="A33" s="16" t="s">
        <v>68</v>
      </c>
      <c r="B33" s="16" t="s">
        <v>144</v>
      </c>
      <c r="C33" s="20" t="s">
        <v>60</v>
      </c>
      <c r="D33" s="24">
        <v>8.508423166</v>
      </c>
      <c r="E33" s="24">
        <v>7.2481134735000001</v>
      </c>
      <c r="F33" s="24">
        <v>6.6908726617900003</v>
      </c>
      <c r="G33" s="24">
        <v>6.587231251505</v>
      </c>
      <c r="H33" s="24">
        <v>8.0734613423030002</v>
      </c>
      <c r="I33" s="24">
        <f t="shared" si="0"/>
        <v>37.108101895098002</v>
      </c>
      <c r="J33" s="16" t="s">
        <v>145</v>
      </c>
      <c r="K33" s="5" t="s">
        <v>112</v>
      </c>
      <c r="L33" s="16" t="s">
        <v>113</v>
      </c>
    </row>
    <row r="34" spans="1:12" s="1" customFormat="1">
      <c r="A34" s="16" t="s">
        <v>68</v>
      </c>
      <c r="B34" s="16" t="s">
        <v>122</v>
      </c>
      <c r="C34" s="20" t="s">
        <v>60</v>
      </c>
      <c r="D34" s="24">
        <v>0.5</v>
      </c>
      <c r="E34" s="24">
        <v>0.5</v>
      </c>
      <c r="F34" s="24">
        <v>0.5</v>
      </c>
      <c r="G34" s="24">
        <v>0.5</v>
      </c>
      <c r="H34" s="24">
        <v>0.5</v>
      </c>
      <c r="I34" s="24">
        <f t="shared" si="0"/>
        <v>2.5</v>
      </c>
      <c r="J34" s="16" t="s">
        <v>145</v>
      </c>
      <c r="K34" s="5" t="s">
        <v>112</v>
      </c>
      <c r="L34" s="16" t="s">
        <v>113</v>
      </c>
    </row>
    <row r="35" spans="1:12" s="1" customFormat="1">
      <c r="A35" s="16" t="s">
        <v>68</v>
      </c>
      <c r="B35" s="16" t="s">
        <v>118</v>
      </c>
      <c r="C35" s="20" t="s">
        <v>60</v>
      </c>
      <c r="D35" s="24">
        <v>0.56999999999999995</v>
      </c>
      <c r="E35" s="24">
        <v>0.75</v>
      </c>
      <c r="F35" s="24">
        <v>0.38</v>
      </c>
      <c r="G35" s="24">
        <v>0</v>
      </c>
      <c r="H35" s="24">
        <v>0</v>
      </c>
      <c r="I35" s="24">
        <f t="shared" si="0"/>
        <v>1.6999999999999997</v>
      </c>
      <c r="J35" s="16" t="s">
        <v>145</v>
      </c>
      <c r="K35" s="5" t="s">
        <v>112</v>
      </c>
      <c r="L35" s="16" t="s">
        <v>113</v>
      </c>
    </row>
    <row r="36" spans="1:12" s="1" customFormat="1">
      <c r="A36" s="16" t="s">
        <v>69</v>
      </c>
      <c r="B36" s="16" t="s">
        <v>131</v>
      </c>
      <c r="C36" s="20" t="s">
        <v>60</v>
      </c>
      <c r="D36" s="24">
        <v>2.8650000000000002</v>
      </c>
      <c r="E36" s="24">
        <v>2.42</v>
      </c>
      <c r="F36" s="24">
        <v>1.9570000000000001</v>
      </c>
      <c r="G36" s="24">
        <v>2.9649999999999999</v>
      </c>
      <c r="H36" s="24">
        <v>2.9649999999999999</v>
      </c>
      <c r="I36" s="24">
        <f t="shared" si="0"/>
        <v>13.172000000000001</v>
      </c>
      <c r="J36" s="16" t="s">
        <v>146</v>
      </c>
      <c r="K36" s="5" t="s">
        <v>104</v>
      </c>
      <c r="L36" s="16" t="s">
        <v>105</v>
      </c>
    </row>
    <row r="37" spans="1:12" s="1" customFormat="1">
      <c r="A37" s="16" t="s">
        <v>69</v>
      </c>
      <c r="B37" s="16" t="s">
        <v>134</v>
      </c>
      <c r="C37" s="20" t="s">
        <v>60</v>
      </c>
      <c r="D37" s="24">
        <v>5.23</v>
      </c>
      <c r="E37" s="24">
        <v>3.58</v>
      </c>
      <c r="F37" s="24">
        <v>7.44</v>
      </c>
      <c r="G37" s="24">
        <v>5.94</v>
      </c>
      <c r="H37" s="24">
        <v>1.99</v>
      </c>
      <c r="I37" s="24">
        <f t="shared" si="0"/>
        <v>24.18</v>
      </c>
      <c r="J37" s="16" t="s">
        <v>146</v>
      </c>
      <c r="K37" s="5" t="s">
        <v>104</v>
      </c>
      <c r="L37" s="16" t="s">
        <v>105</v>
      </c>
    </row>
    <row r="38" spans="1:12" s="1" customFormat="1">
      <c r="A38" s="16" t="s">
        <v>69</v>
      </c>
      <c r="B38" s="16" t="s">
        <v>133</v>
      </c>
      <c r="C38" s="20" t="s">
        <v>60</v>
      </c>
      <c r="D38" s="24">
        <v>3.9449999999999998</v>
      </c>
      <c r="E38" s="24">
        <v>4.6820000000000004</v>
      </c>
      <c r="F38" s="24">
        <v>7.7149999999999999</v>
      </c>
      <c r="G38" s="24">
        <v>8.9760000000000009</v>
      </c>
      <c r="H38" s="24">
        <v>9.0779999999999994</v>
      </c>
      <c r="I38" s="24">
        <f t="shared" si="0"/>
        <v>34.396000000000001</v>
      </c>
      <c r="J38" s="16" t="s">
        <v>146</v>
      </c>
      <c r="K38" s="5" t="s">
        <v>104</v>
      </c>
      <c r="L38" s="16" t="s">
        <v>105</v>
      </c>
    </row>
    <row r="39" spans="1:12">
      <c r="A39" s="16" t="s">
        <v>69</v>
      </c>
      <c r="B39" s="16" t="s">
        <v>135</v>
      </c>
      <c r="C39" s="20" t="s">
        <v>60</v>
      </c>
      <c r="D39" s="24">
        <v>0.10518</v>
      </c>
      <c r="E39" s="24">
        <v>0.10571</v>
      </c>
      <c r="F39" s="24">
        <v>0.10624</v>
      </c>
      <c r="G39" s="24">
        <v>0.10677</v>
      </c>
      <c r="H39" s="24">
        <v>0.10730000000000001</v>
      </c>
      <c r="I39" s="24">
        <f>SUM(D39:H39)</f>
        <v>0.53120000000000012</v>
      </c>
      <c r="J39" s="16" t="s">
        <v>136</v>
      </c>
      <c r="K39" s="5" t="s">
        <v>104</v>
      </c>
      <c r="L39" s="16" t="s">
        <v>105</v>
      </c>
    </row>
    <row r="40" spans="1:12">
      <c r="A40" s="16" t="s">
        <v>70</v>
      </c>
      <c r="B40" s="16" t="s">
        <v>118</v>
      </c>
      <c r="C40" s="20" t="s">
        <v>60</v>
      </c>
      <c r="D40" s="24">
        <v>0.56999999999999995</v>
      </c>
      <c r="E40" s="24">
        <v>0.75</v>
      </c>
      <c r="F40" s="24">
        <v>1.2170000000000001</v>
      </c>
      <c r="G40" s="24">
        <v>4.6100000000000003</v>
      </c>
      <c r="H40" s="24">
        <v>5.28</v>
      </c>
      <c r="I40" s="24">
        <f t="shared" si="0"/>
        <v>12.427</v>
      </c>
      <c r="J40" s="16" t="s">
        <v>147</v>
      </c>
      <c r="K40" s="5" t="s">
        <v>104</v>
      </c>
      <c r="L40" s="16" t="s">
        <v>105</v>
      </c>
    </row>
    <row r="41" spans="1:12">
      <c r="A41" s="16" t="s">
        <v>70</v>
      </c>
      <c r="B41" s="16" t="s">
        <v>125</v>
      </c>
      <c r="C41" s="20" t="s">
        <v>60</v>
      </c>
      <c r="D41" s="24">
        <v>2.08</v>
      </c>
      <c r="E41" s="24">
        <v>4.1100000000000003</v>
      </c>
      <c r="F41" s="24">
        <v>4.4800000000000004</v>
      </c>
      <c r="G41" s="24">
        <v>3.67</v>
      </c>
      <c r="H41" s="24">
        <v>2.75</v>
      </c>
      <c r="I41" s="157">
        <f t="shared" si="0"/>
        <v>17.090000000000003</v>
      </c>
      <c r="J41" s="16" t="s">
        <v>147</v>
      </c>
      <c r="K41" s="5" t="s">
        <v>104</v>
      </c>
      <c r="L41" s="16" t="s">
        <v>105</v>
      </c>
    </row>
    <row r="42" spans="1:12">
      <c r="A42" s="16" t="s">
        <v>70</v>
      </c>
      <c r="B42" s="16" t="s">
        <v>130</v>
      </c>
      <c r="C42" s="20" t="s">
        <v>60</v>
      </c>
      <c r="D42" s="24">
        <v>0.95</v>
      </c>
      <c r="E42" s="24">
        <v>0.76</v>
      </c>
      <c r="F42" s="24">
        <v>0.91</v>
      </c>
      <c r="G42" s="24">
        <v>1.645</v>
      </c>
      <c r="H42" s="24">
        <v>1.65</v>
      </c>
      <c r="I42" s="24">
        <f t="shared" ref="I42" si="1">SUM(D42:H42)</f>
        <v>5.9150000000000009</v>
      </c>
      <c r="J42" s="16" t="s">
        <v>147</v>
      </c>
      <c r="K42" s="5" t="s">
        <v>104</v>
      </c>
      <c r="L42" s="16" t="s">
        <v>105</v>
      </c>
    </row>
    <row r="45" spans="1:12">
      <c r="I45" s="8"/>
    </row>
    <row r="51" spans="10:10">
      <c r="J51" s="35"/>
    </row>
  </sheetData>
  <phoneticPr fontId="44"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56F16D-BE70-43D5-8E4D-B8F758080540}">
  <sheetPr>
    <tabColor rgb="FFFFDB8E"/>
  </sheetPr>
  <dimension ref="A1:AN28"/>
  <sheetViews>
    <sheetView zoomScale="80" zoomScaleNormal="80" workbookViewId="0"/>
  </sheetViews>
  <sheetFormatPr defaultRowHeight="12.75"/>
  <cols>
    <col min="1" max="1" width="8.140625" customWidth="1"/>
    <col min="2" max="2" width="30" bestFit="1" customWidth="1"/>
    <col min="3" max="3" width="6.28515625" customWidth="1"/>
    <col min="4" max="9" width="8" customWidth="1"/>
    <col min="10" max="10" width="20.5703125" customWidth="1"/>
    <col min="11" max="12" width="18.7109375" bestFit="1" customWidth="1"/>
  </cols>
  <sheetData>
    <row r="1" spans="1:40" s="209" customFormat="1" ht="32.85" customHeight="1">
      <c r="A1" s="210" t="e">
        <f ca="1" xml:space="preserve"> RIGHT(CELL("filename", A1), LEN(CELL("filename", A1)) - SEARCH("]", CELL("filename", A1)))</f>
        <v>#VALUE!</v>
      </c>
      <c r="B1" s="210"/>
      <c r="C1" s="210"/>
      <c r="D1" s="210"/>
      <c r="E1" s="210"/>
      <c r="F1" s="210"/>
      <c r="G1" s="210"/>
      <c r="H1" s="210"/>
      <c r="I1" s="210"/>
      <c r="J1" s="210"/>
      <c r="K1" s="210"/>
      <c r="L1" s="210"/>
      <c r="M1" s="210"/>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row>
    <row r="3" spans="1:40" ht="13.15">
      <c r="A3" s="19" t="s">
        <v>92</v>
      </c>
      <c r="B3" s="19" t="s">
        <v>93</v>
      </c>
      <c r="C3" s="19" t="s">
        <v>82</v>
      </c>
      <c r="D3" s="19" t="s">
        <v>94</v>
      </c>
      <c r="E3" s="19" t="s">
        <v>95</v>
      </c>
      <c r="F3" s="19" t="s">
        <v>96</v>
      </c>
      <c r="G3" s="19" t="s">
        <v>97</v>
      </c>
      <c r="H3" s="19" t="s">
        <v>98</v>
      </c>
      <c r="I3" s="19" t="s">
        <v>89</v>
      </c>
      <c r="J3" s="19" t="s">
        <v>148</v>
      </c>
      <c r="K3" s="19" t="s">
        <v>100</v>
      </c>
      <c r="L3" s="19" t="s">
        <v>101</v>
      </c>
    </row>
    <row r="4" spans="1:40" ht="13.15">
      <c r="A4" s="16" t="s">
        <v>57</v>
      </c>
      <c r="B4" s="16" t="s">
        <v>149</v>
      </c>
      <c r="C4" s="20" t="s">
        <v>60</v>
      </c>
      <c r="D4" s="24">
        <f>8.894/5</f>
        <v>1.7787999999999999</v>
      </c>
      <c r="E4" s="24">
        <f t="shared" ref="E4:H4" si="0">8.894/5</f>
        <v>1.7787999999999999</v>
      </c>
      <c r="F4" s="24">
        <f t="shared" si="0"/>
        <v>1.7787999999999999</v>
      </c>
      <c r="G4" s="24">
        <f t="shared" si="0"/>
        <v>1.7787999999999999</v>
      </c>
      <c r="H4" s="24">
        <f t="shared" si="0"/>
        <v>1.7787999999999999</v>
      </c>
      <c r="I4" s="153">
        <f t="shared" ref="I4" si="1">SUM(D4:H4)</f>
        <v>8.8940000000000001</v>
      </c>
      <c r="J4" s="16" t="s">
        <v>150</v>
      </c>
      <c r="K4" s="5" t="s">
        <v>112</v>
      </c>
      <c r="L4" s="16" t="s">
        <v>113</v>
      </c>
      <c r="M4" s="150"/>
    </row>
    <row r="5" spans="1:40" ht="13.15">
      <c r="A5" s="16" t="s">
        <v>63</v>
      </c>
      <c r="B5" s="16" t="s">
        <v>151</v>
      </c>
      <c r="C5" s="20" t="s">
        <v>60</v>
      </c>
      <c r="D5" s="24">
        <v>0</v>
      </c>
      <c r="E5" s="24">
        <v>5.2359999999999998</v>
      </c>
      <c r="F5" s="24">
        <v>0</v>
      </c>
      <c r="G5" s="24">
        <v>0</v>
      </c>
      <c r="H5" s="24">
        <v>0</v>
      </c>
      <c r="I5" s="24">
        <f>SUM(D5:H5)</f>
        <v>5.2359999999999998</v>
      </c>
      <c r="J5" s="16" t="s">
        <v>152</v>
      </c>
      <c r="K5" s="5" t="s">
        <v>112</v>
      </c>
      <c r="L5" s="16" t="s">
        <v>113</v>
      </c>
      <c r="M5" s="150"/>
    </row>
    <row r="6" spans="1:40" ht="13.15">
      <c r="A6" s="16" t="s">
        <v>74</v>
      </c>
      <c r="B6" s="16" t="s">
        <v>153</v>
      </c>
      <c r="C6" s="20" t="s">
        <v>60</v>
      </c>
      <c r="D6" s="24">
        <v>0.51600000000000001</v>
      </c>
      <c r="E6" s="24">
        <v>0.51600000000000001</v>
      </c>
      <c r="F6" s="24">
        <v>0.51600000000000001</v>
      </c>
      <c r="G6" s="24">
        <v>0.51600000000000001</v>
      </c>
      <c r="H6" s="24">
        <v>0.51600000000000001</v>
      </c>
      <c r="I6" s="24">
        <f>SUM(D6:H6)</f>
        <v>2.58</v>
      </c>
      <c r="J6" s="16" t="s">
        <v>154</v>
      </c>
      <c r="K6" s="5" t="s">
        <v>112</v>
      </c>
      <c r="L6" s="16" t="s">
        <v>113</v>
      </c>
    </row>
    <row r="7" spans="1:40" s="1" customFormat="1" ht="13.15">
      <c r="A7" s="16" t="s">
        <v>64</v>
      </c>
      <c r="B7" s="16" t="s">
        <v>155</v>
      </c>
      <c r="C7" s="20" t="s">
        <v>60</v>
      </c>
      <c r="D7" s="24">
        <f>6.29/5</f>
        <v>1.258</v>
      </c>
      <c r="E7" s="24">
        <f t="shared" ref="E7:H7" si="2">6.29/5</f>
        <v>1.258</v>
      </c>
      <c r="F7" s="24">
        <f t="shared" si="2"/>
        <v>1.258</v>
      </c>
      <c r="G7" s="24">
        <f t="shared" si="2"/>
        <v>1.258</v>
      </c>
      <c r="H7" s="24">
        <f t="shared" si="2"/>
        <v>1.258</v>
      </c>
      <c r="I7" s="24">
        <f>SUM(D7:H7)</f>
        <v>6.29</v>
      </c>
      <c r="J7" s="16" t="s">
        <v>156</v>
      </c>
      <c r="K7" s="5" t="s">
        <v>112</v>
      </c>
      <c r="L7" s="16" t="s">
        <v>113</v>
      </c>
    </row>
    <row r="8" spans="1:40">
      <c r="E8" s="11"/>
      <c r="F8" s="11"/>
      <c r="G8" s="11"/>
      <c r="H8" s="11"/>
      <c r="I8" s="11"/>
      <c r="J8" s="11"/>
      <c r="L8" s="13"/>
    </row>
    <row r="9" spans="1:40">
      <c r="E9" s="11"/>
      <c r="F9" s="11"/>
      <c r="G9" s="11"/>
      <c r="H9" s="11"/>
      <c r="I9" s="11"/>
      <c r="J9" s="11"/>
      <c r="L9" s="13"/>
    </row>
    <row r="10" spans="1:40">
      <c r="E10" s="11"/>
      <c r="F10" s="11"/>
      <c r="G10" s="11"/>
      <c r="H10" s="11"/>
      <c r="I10" s="11"/>
      <c r="J10" s="11"/>
      <c r="L10" s="13"/>
    </row>
    <row r="11" spans="1:40">
      <c r="E11" s="11"/>
      <c r="F11" s="11"/>
      <c r="G11" s="11"/>
      <c r="H11" s="11"/>
      <c r="I11" s="11"/>
      <c r="J11" s="11"/>
      <c r="L11" s="13"/>
    </row>
    <row r="12" spans="1:40">
      <c r="E12" s="11"/>
      <c r="F12" s="11"/>
      <c r="G12" s="11"/>
      <c r="H12" s="11"/>
      <c r="I12" s="11"/>
      <c r="J12" s="11"/>
      <c r="L12" s="13"/>
    </row>
    <row r="13" spans="1:40">
      <c r="E13" s="11"/>
      <c r="F13" s="11"/>
      <c r="G13" s="11"/>
      <c r="H13" s="11"/>
      <c r="I13" s="11"/>
      <c r="J13" s="11"/>
      <c r="L13" s="13"/>
    </row>
    <row r="14" spans="1:40">
      <c r="E14" s="11"/>
      <c r="F14" s="11"/>
      <c r="G14" s="11"/>
      <c r="H14" s="11"/>
      <c r="I14" s="11"/>
      <c r="J14" s="11"/>
      <c r="L14" s="13"/>
    </row>
    <row r="15" spans="1:40">
      <c r="E15" s="11"/>
      <c r="F15" s="11"/>
      <c r="G15" s="11"/>
      <c r="H15" s="11"/>
      <c r="I15" s="11"/>
      <c r="J15" s="11"/>
      <c r="L15" s="13"/>
    </row>
    <row r="16" spans="1:40">
      <c r="E16" s="11"/>
      <c r="F16" s="11"/>
      <c r="G16" s="11"/>
      <c r="H16" s="11"/>
      <c r="I16" s="11"/>
      <c r="J16" s="11"/>
      <c r="L16" s="13"/>
    </row>
    <row r="18" spans="5:12">
      <c r="E18" s="11"/>
      <c r="F18" s="11"/>
      <c r="G18" s="11"/>
      <c r="H18" s="11"/>
      <c r="I18" s="11"/>
      <c r="J18" s="11"/>
      <c r="L18" s="13"/>
    </row>
    <row r="19" spans="5:12">
      <c r="E19" s="11"/>
      <c r="F19" s="11"/>
      <c r="G19" s="11"/>
      <c r="H19" s="11"/>
      <c r="I19" s="11"/>
      <c r="J19" s="11"/>
      <c r="L19" s="13"/>
    </row>
    <row r="20" spans="5:12">
      <c r="E20" s="11"/>
      <c r="F20" s="11"/>
      <c r="G20" s="11"/>
      <c r="H20" s="11"/>
      <c r="I20" s="11"/>
      <c r="J20" s="11"/>
      <c r="L20" s="13"/>
    </row>
    <row r="21" spans="5:12">
      <c r="E21" s="11"/>
      <c r="F21" s="11"/>
      <c r="G21" s="11"/>
      <c r="H21" s="11"/>
      <c r="I21" s="11"/>
      <c r="J21" s="11"/>
      <c r="L21" s="13"/>
    </row>
    <row r="22" spans="5:12">
      <c r="E22" s="11"/>
      <c r="F22" s="11"/>
      <c r="G22" s="11"/>
      <c r="H22" s="11"/>
      <c r="I22" s="11"/>
      <c r="J22" s="11"/>
      <c r="L22" s="13"/>
    </row>
    <row r="23" spans="5:12">
      <c r="E23" s="11"/>
      <c r="F23" s="11"/>
      <c r="G23" s="11"/>
      <c r="H23" s="11"/>
      <c r="I23" s="11"/>
      <c r="J23" s="11"/>
      <c r="L23" s="13"/>
    </row>
    <row r="24" spans="5:12">
      <c r="E24" s="11"/>
      <c r="F24" s="11"/>
      <c r="G24" s="11"/>
      <c r="H24" s="11"/>
      <c r="I24" s="11"/>
      <c r="J24" s="11"/>
      <c r="L24" s="13"/>
    </row>
    <row r="25" spans="5:12">
      <c r="E25" s="11"/>
      <c r="F25" s="11"/>
      <c r="G25" s="11"/>
      <c r="H25" s="11"/>
      <c r="I25" s="11"/>
      <c r="J25" s="11"/>
      <c r="L25" s="13"/>
    </row>
    <row r="26" spans="5:12">
      <c r="E26" s="11"/>
      <c r="F26" s="11"/>
      <c r="G26" s="11"/>
      <c r="H26" s="11"/>
      <c r="I26" s="11"/>
      <c r="J26" s="11"/>
      <c r="L26" s="13"/>
    </row>
    <row r="27" spans="5:12">
      <c r="E27" s="11"/>
      <c r="F27" s="11"/>
      <c r="G27" s="11"/>
      <c r="H27" s="11"/>
      <c r="I27" s="11"/>
      <c r="J27" s="11"/>
      <c r="L27" s="13"/>
    </row>
    <row r="28" spans="5:12">
      <c r="E28" s="11"/>
      <c r="F28" s="11"/>
      <c r="G28" s="11"/>
      <c r="H28" s="11"/>
      <c r="I28" s="11"/>
      <c r="J28" s="11"/>
      <c r="L28" s="13"/>
    </row>
  </sheetData>
  <phoneticPr fontId="44"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71080-B464-443F-96EB-68F9AE19B323}">
  <sheetPr>
    <tabColor rgb="FFFFDB8E"/>
  </sheetPr>
  <dimension ref="A1:AN31"/>
  <sheetViews>
    <sheetView zoomScale="80" zoomScaleNormal="80" workbookViewId="0"/>
  </sheetViews>
  <sheetFormatPr defaultRowHeight="12.75"/>
  <cols>
    <col min="2" max="2" width="72.28515625" bestFit="1" customWidth="1"/>
    <col min="3" max="3" width="20" bestFit="1" customWidth="1"/>
    <col min="4" max="4" width="7.42578125" customWidth="1"/>
    <col min="8" max="8" width="9" bestFit="1" customWidth="1"/>
    <col min="11" max="11" width="41.7109375" bestFit="1" customWidth="1"/>
    <col min="12" max="12" width="18" bestFit="1" customWidth="1"/>
  </cols>
  <sheetData>
    <row r="1" spans="1:40" s="209" customFormat="1" ht="32.85" customHeight="1">
      <c r="A1" s="210" t="e">
        <f ca="1" xml:space="preserve"> RIGHT(CELL("filename", A1), LEN(CELL("filename", A1)) - SEARCH("]", CELL("filename", A1)))</f>
        <v>#VALUE!</v>
      </c>
      <c r="B1" s="210"/>
      <c r="C1" s="210"/>
      <c r="D1" s="210"/>
      <c r="E1" s="210"/>
      <c r="F1" s="210"/>
      <c r="G1" s="210"/>
      <c r="H1" s="210"/>
      <c r="I1" s="210"/>
      <c r="J1" s="210"/>
      <c r="K1" s="210"/>
      <c r="L1" s="210"/>
      <c r="M1" s="210"/>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row>
    <row r="2" spans="1:40" s="1" customFormat="1" ht="10.9" customHeight="1">
      <c r="A2" s="18"/>
      <c r="B2" s="18"/>
      <c r="C2" s="18"/>
      <c r="D2" s="18"/>
      <c r="E2" s="18"/>
      <c r="F2" s="18"/>
      <c r="G2" s="18"/>
      <c r="H2" s="18"/>
      <c r="I2" s="18"/>
      <c r="J2" s="18"/>
      <c r="K2" s="18"/>
      <c r="L2" s="18"/>
      <c r="M2" s="18"/>
      <c r="N2" s="18"/>
    </row>
    <row r="3" spans="1:40" s="1" customFormat="1" ht="13.15">
      <c r="A3" s="19"/>
      <c r="B3" s="325" t="s">
        <v>157</v>
      </c>
      <c r="C3" s="325"/>
      <c r="D3" s="25"/>
      <c r="E3" s="19"/>
      <c r="F3" s="19"/>
      <c r="G3" s="19"/>
      <c r="H3" s="19"/>
      <c r="I3" s="19"/>
      <c r="J3" s="19"/>
      <c r="K3" s="325" t="s">
        <v>158</v>
      </c>
      <c r="L3" s="325"/>
    </row>
    <row r="4" spans="1:40" s="1" customFormat="1" ht="13.15">
      <c r="A4" s="19" t="s">
        <v>92</v>
      </c>
      <c r="B4" s="19" t="s">
        <v>81</v>
      </c>
      <c r="C4" s="19" t="s">
        <v>159</v>
      </c>
      <c r="D4" s="19" t="s">
        <v>82</v>
      </c>
      <c r="E4" s="19" t="s">
        <v>94</v>
      </c>
      <c r="F4" s="19" t="s">
        <v>95</v>
      </c>
      <c r="G4" s="19" t="s">
        <v>96</v>
      </c>
      <c r="H4" s="19" t="s">
        <v>97</v>
      </c>
      <c r="I4" s="19" t="s">
        <v>98</v>
      </c>
      <c r="J4" s="19" t="s">
        <v>89</v>
      </c>
      <c r="K4" s="19" t="s">
        <v>81</v>
      </c>
      <c r="L4" s="19" t="s">
        <v>159</v>
      </c>
      <c r="O4" s="17"/>
    </row>
    <row r="5" spans="1:40" s="1" customFormat="1" ht="13.15">
      <c r="A5" s="16" t="s">
        <v>57</v>
      </c>
      <c r="B5" s="16" t="s">
        <v>160</v>
      </c>
      <c r="C5" s="16" t="s">
        <v>161</v>
      </c>
      <c r="D5" s="20" t="s">
        <v>60</v>
      </c>
      <c r="E5" s="24">
        <v>136.124</v>
      </c>
      <c r="F5" s="24">
        <v>115.494</v>
      </c>
      <c r="G5" s="24">
        <v>144.05699999999999</v>
      </c>
      <c r="H5" s="24">
        <v>113.35299999999999</v>
      </c>
      <c r="I5" s="24">
        <v>40.795999999999999</v>
      </c>
      <c r="J5" s="24">
        <f>SUM(E5:I5)</f>
        <v>549.82399999999996</v>
      </c>
      <c r="K5" s="16" t="s">
        <v>162</v>
      </c>
      <c r="L5" s="16" t="s">
        <v>90</v>
      </c>
      <c r="O5" s="17"/>
    </row>
    <row r="6" spans="1:40" s="1" customFormat="1" ht="13.15">
      <c r="A6" s="16" t="s">
        <v>57</v>
      </c>
      <c r="B6" s="16" t="s">
        <v>163</v>
      </c>
      <c r="C6" s="16" t="s">
        <v>164</v>
      </c>
      <c r="D6" s="20" t="s">
        <v>60</v>
      </c>
      <c r="E6" s="24">
        <v>24.475999999999999</v>
      </c>
      <c r="F6" s="24">
        <v>36.941000000000003</v>
      </c>
      <c r="G6" s="24">
        <v>32.411999999999999</v>
      </c>
      <c r="H6" s="24">
        <v>17.172000000000001</v>
      </c>
      <c r="I6" s="24">
        <v>0.216</v>
      </c>
      <c r="J6" s="24">
        <f t="shared" ref="J6:J13" si="0">SUM(E6:I6)</f>
        <v>111.217</v>
      </c>
      <c r="K6" s="16" t="s">
        <v>162</v>
      </c>
      <c r="L6" s="16" t="s">
        <v>90</v>
      </c>
      <c r="O6" s="17"/>
    </row>
    <row r="7" spans="1:40" s="1" customFormat="1" ht="13.15">
      <c r="A7" s="20" t="s">
        <v>57</v>
      </c>
      <c r="B7" s="20" t="s">
        <v>165</v>
      </c>
      <c r="C7" s="20" t="s">
        <v>166</v>
      </c>
      <c r="D7" s="20" t="s">
        <v>60</v>
      </c>
      <c r="E7" s="26">
        <f>Inputs!D8+Other_Inputs!D4</f>
        <v>8.9290000000000003</v>
      </c>
      <c r="F7" s="26">
        <f>Inputs!E8+Other_Inputs!E4</f>
        <v>16.4998</v>
      </c>
      <c r="G7" s="26">
        <f>Inputs!F8+Other_Inputs!F4</f>
        <v>20.0749</v>
      </c>
      <c r="H7" s="26">
        <f>Inputs!G8+Other_Inputs!G4</f>
        <v>13.3453</v>
      </c>
      <c r="I7" s="26">
        <f>Inputs!H8+Other_Inputs!H4</f>
        <v>2.62</v>
      </c>
      <c r="J7" s="26">
        <f t="shared" si="0"/>
        <v>61.469000000000001</v>
      </c>
      <c r="K7" s="20" t="s">
        <v>162</v>
      </c>
      <c r="L7" s="20" t="s">
        <v>90</v>
      </c>
      <c r="O7" s="17"/>
    </row>
    <row r="8" spans="1:40" s="1" customFormat="1" ht="13.15">
      <c r="A8" s="20" t="s">
        <v>63</v>
      </c>
      <c r="B8" s="20" t="s">
        <v>165</v>
      </c>
      <c r="C8" s="20" t="s">
        <v>166</v>
      </c>
      <c r="D8" s="20" t="s">
        <v>60</v>
      </c>
      <c r="E8" s="26">
        <f>Inputs!D12+Other_Inputs!D5</f>
        <v>0.56999999999999995</v>
      </c>
      <c r="F8" s="26">
        <f>Inputs!E12+Other_Inputs!E5</f>
        <v>5.9859999999999998</v>
      </c>
      <c r="G8" s="26">
        <f>Inputs!F12+Other_Inputs!F5</f>
        <v>0.47</v>
      </c>
      <c r="H8" s="26">
        <f>Inputs!G12+Other_Inputs!G5</f>
        <v>0.51</v>
      </c>
      <c r="I8" s="26">
        <f>Inputs!H12+Other_Inputs!H5</f>
        <v>0.59</v>
      </c>
      <c r="J8" s="26">
        <f>SUM(E8:I8)</f>
        <v>8.1259999999999994</v>
      </c>
      <c r="K8" s="20" t="s">
        <v>162</v>
      </c>
      <c r="L8" s="20" t="s">
        <v>90</v>
      </c>
      <c r="O8" s="17"/>
    </row>
    <row r="9" spans="1:40" s="1" customFormat="1" ht="13.15">
      <c r="A9" s="16" t="s">
        <v>68</v>
      </c>
      <c r="B9" s="16" t="s">
        <v>165</v>
      </c>
      <c r="C9" s="16" t="s">
        <v>166</v>
      </c>
      <c r="D9" s="20" t="s">
        <v>60</v>
      </c>
      <c r="E9" s="24">
        <f>SUMIFS(Inputs!D$4:D$42,Inputs!$A$4:$A$42,Reallocations!$A9)+SUMIFS(Other_Inputs!D$4:D$10,Other_Inputs!$A$4:$A$10,Reallocations!$A9)</f>
        <v>9.5784231660000003</v>
      </c>
      <c r="F9" s="24">
        <f>SUMIFS(Inputs!E$4:E$42,Inputs!$A$4:$A$42,Reallocations!$A9)+SUMIFS(Other_Inputs!E$4:E$10,Other_Inputs!$A$4:$A$10,Reallocations!$A9)</f>
        <v>8.4981134735000001</v>
      </c>
      <c r="G9" s="24">
        <f>SUMIFS(Inputs!F$4:F$42,Inputs!$A$4:$A$42,Reallocations!$A9)+SUMIFS(Other_Inputs!F$4:F$10,Other_Inputs!$A$4:$A$10,Reallocations!$A9)</f>
        <v>7.5708726617900002</v>
      </c>
      <c r="H9" s="24">
        <f>SUMIFS(Inputs!G$4:G$42,Inputs!$A$4:$A$42,Reallocations!$A9)+SUMIFS(Other_Inputs!G$4:G$10,Other_Inputs!$A$4:$A$10,Reallocations!$A9)</f>
        <v>7.087231251505</v>
      </c>
      <c r="I9" s="24">
        <f>SUMIFS(Inputs!H$4:H$42,Inputs!$A$4:$A$42,Reallocations!$A9)+SUMIFS(Other_Inputs!H$4:H$10,Other_Inputs!$A$4:$A$10,Reallocations!$A9)</f>
        <v>8.5734613423030002</v>
      </c>
      <c r="J9" s="24">
        <f>SUM(E9:I9)</f>
        <v>41.308101895097998</v>
      </c>
      <c r="K9" s="16" t="s">
        <v>162</v>
      </c>
      <c r="L9" s="16" t="s">
        <v>90</v>
      </c>
      <c r="O9" s="17"/>
    </row>
    <row r="10" spans="1:40" s="1" customFormat="1" ht="13.15">
      <c r="A10" s="16" t="s">
        <v>74</v>
      </c>
      <c r="B10" s="16" t="s">
        <v>165</v>
      </c>
      <c r="C10" s="16" t="s">
        <v>166</v>
      </c>
      <c r="D10" s="20" t="s">
        <v>60</v>
      </c>
      <c r="E10" s="24">
        <f>Inputs!D13+Other_Inputs!D6</f>
        <v>14.289</v>
      </c>
      <c r="F10" s="24">
        <f>Inputs!E13+Other_Inputs!E6</f>
        <v>11.874000000000001</v>
      </c>
      <c r="G10" s="24">
        <f>Inputs!F13+Other_Inputs!F6</f>
        <v>8.0599999999999987</v>
      </c>
      <c r="H10" s="24">
        <f>Inputs!G13+Other_Inputs!G6</f>
        <v>5.9420000000000002</v>
      </c>
      <c r="I10" s="24">
        <f>Inputs!H13+Other_Inputs!H6</f>
        <v>23.365000000000002</v>
      </c>
      <c r="J10" s="24">
        <f>SUM(E10:I10)</f>
        <v>63.53</v>
      </c>
      <c r="K10" s="16" t="s">
        <v>162</v>
      </c>
      <c r="L10" s="16" t="s">
        <v>90</v>
      </c>
      <c r="O10" s="17"/>
    </row>
    <row r="11" spans="1:40" s="1" customFormat="1" ht="13.15">
      <c r="A11" s="16" t="s">
        <v>64</v>
      </c>
      <c r="B11" s="16" t="s">
        <v>165</v>
      </c>
      <c r="C11" s="16" t="s">
        <v>166</v>
      </c>
      <c r="D11" s="20" t="s">
        <v>60</v>
      </c>
      <c r="E11" s="24">
        <f>SUMIFS(Inputs!D$4:D$42,Inputs!$A$4:$A$42,Reallocations!$A11)+SUMIFS(Other_Inputs!D$4:D$10,Other_Inputs!$A$4:$A$10,Reallocations!$A11)</f>
        <v>12.355999999999998</v>
      </c>
      <c r="F11" s="24">
        <f>SUMIFS(Inputs!E$4:E$42,Inputs!$A$4:$A$42,Reallocations!$A11)+SUMIFS(Other_Inputs!E$4:E$10,Other_Inputs!$A$4:$A$10,Reallocations!$A11)</f>
        <v>16.242999999999999</v>
      </c>
      <c r="G11" s="24">
        <f>SUMIFS(Inputs!F$4:F$42,Inputs!$A$4:$A$42,Reallocations!$A11)+SUMIFS(Other_Inputs!F$4:F$10,Other_Inputs!$A$4:$A$10,Reallocations!$A11)</f>
        <v>8.2809999999999988</v>
      </c>
      <c r="H11" s="24">
        <f>SUMIFS(Inputs!G$4:G$42,Inputs!$A$4:$A$42,Reallocations!$A11)+SUMIFS(Other_Inputs!G$4:G$10,Other_Inputs!$A$4:$A$10,Reallocations!$A11)</f>
        <v>5.7089999999999996</v>
      </c>
      <c r="I11" s="24">
        <f>SUMIFS(Inputs!H$4:H$42,Inputs!$A$4:$A$42,Reallocations!$A11)+SUMIFS(Other_Inputs!H$4:H$10,Other_Inputs!$A$4:$A$10,Reallocations!$A11)</f>
        <v>3.367</v>
      </c>
      <c r="J11" s="24">
        <f t="shared" si="0"/>
        <v>45.955999999999996</v>
      </c>
      <c r="K11" s="16" t="s">
        <v>162</v>
      </c>
      <c r="L11" s="16" t="s">
        <v>90</v>
      </c>
      <c r="O11" s="17"/>
    </row>
    <row r="12" spans="1:40" s="1" customFormat="1" ht="13.15">
      <c r="A12" s="16" t="s">
        <v>65</v>
      </c>
      <c r="B12" s="16" t="s">
        <v>165</v>
      </c>
      <c r="C12" s="16" t="s">
        <v>166</v>
      </c>
      <c r="D12" s="20" t="s">
        <v>60</v>
      </c>
      <c r="E12" s="24">
        <f>SUMIFS(Inputs!D$4:D$42,Inputs!$A$4:$A$42,Reallocations!$A12)+SUMIFS(Other_Inputs!D$4:D$10,Other_Inputs!$A$4:$A$10,Reallocations!$A12)</f>
        <v>13.3316</v>
      </c>
      <c r="F12" s="24">
        <f>SUMIFS(Inputs!E$4:E$42,Inputs!$A$4:$A$42,Reallocations!$A12)+SUMIFS(Other_Inputs!E$4:E$10,Other_Inputs!$A$4:$A$10,Reallocations!$A12)</f>
        <v>13.2376</v>
      </c>
      <c r="G12" s="24">
        <f>SUMIFS(Inputs!F$4:F$42,Inputs!$A$4:$A$42,Reallocations!$A12)+SUMIFS(Other_Inputs!F$4:F$10,Other_Inputs!$A$4:$A$10,Reallocations!$A12)</f>
        <v>14.566599999999999</v>
      </c>
      <c r="H12" s="24">
        <f>SUMIFS(Inputs!G$4:G$42,Inputs!$A$4:$A$42,Reallocations!$A12)+SUMIFS(Other_Inputs!G$4:G$10,Other_Inputs!$A$4:$A$10,Reallocations!$A12)</f>
        <v>16.869599999999998</v>
      </c>
      <c r="I12" s="24">
        <f>SUMIFS(Inputs!H$4:H$42,Inputs!$A$4:$A$42,Reallocations!$A12)+SUMIFS(Other_Inputs!H$4:H$10,Other_Inputs!$A$4:$A$10,Reallocations!$A12)</f>
        <v>12.8886</v>
      </c>
      <c r="J12" s="24">
        <f t="shared" si="0"/>
        <v>70.894000000000005</v>
      </c>
      <c r="K12" s="16" t="s">
        <v>162</v>
      </c>
      <c r="L12" s="16" t="s">
        <v>90</v>
      </c>
      <c r="O12" s="17"/>
    </row>
    <row r="13" spans="1:40" s="1" customFormat="1" ht="13.15">
      <c r="A13" s="16" t="s">
        <v>67</v>
      </c>
      <c r="B13" s="16" t="s">
        <v>165</v>
      </c>
      <c r="C13" s="16" t="s">
        <v>166</v>
      </c>
      <c r="D13" s="20" t="s">
        <v>60</v>
      </c>
      <c r="E13" s="24">
        <f>SUMIFS(Inputs!D$4:D$42,Inputs!$A$4:$A$42,Reallocations!$A13)+SUMIFS(Other_Inputs!D$4:D$10,Other_Inputs!$A$4:$A$10,Reallocations!$A13)</f>
        <v>80.763448211687461</v>
      </c>
      <c r="F13" s="24">
        <f>SUMIFS(Inputs!E$4:E$42,Inputs!$A$4:$A$42,Reallocations!$A13)+SUMIFS(Other_Inputs!E$4:E$10,Other_Inputs!$A$4:$A$10,Reallocations!$A13)</f>
        <v>83.791205912541017</v>
      </c>
      <c r="G13" s="24">
        <f>SUMIFS(Inputs!F$4:F$42,Inputs!$A$4:$A$42,Reallocations!$A13)+SUMIFS(Other_Inputs!F$4:F$10,Other_Inputs!$A$4:$A$10,Reallocations!$A13)</f>
        <v>92.430999999999997</v>
      </c>
      <c r="H13" s="24">
        <f>SUMIFS(Inputs!G$4:G$42,Inputs!$A$4:$A$42,Reallocations!$A13)+SUMIFS(Other_Inputs!G$4:G$10,Other_Inputs!$A$4:$A$10,Reallocations!$A13)</f>
        <v>130.10900000000001</v>
      </c>
      <c r="I13" s="24">
        <f>SUMIFS(Inputs!H$4:H$42,Inputs!$A$4:$A$42,Reallocations!$A13)+SUMIFS(Other_Inputs!H$4:H$10,Other_Inputs!$A$4:$A$10,Reallocations!$A13)</f>
        <v>469.16899999999998</v>
      </c>
      <c r="J13" s="24">
        <f t="shared" si="0"/>
        <v>856.26365412422842</v>
      </c>
      <c r="K13" s="16" t="s">
        <v>162</v>
      </c>
      <c r="L13" s="16" t="s">
        <v>90</v>
      </c>
      <c r="O13" s="17"/>
    </row>
    <row r="15" spans="1:40" s="1" customFormat="1" ht="13.15"/>
    <row r="16" spans="1:40" s="1" customFormat="1" ht="13.15">
      <c r="E16" s="17"/>
    </row>
    <row r="17" spans="5:10" s="1" customFormat="1" ht="13.15"/>
    <row r="18" spans="5:10" s="1" customFormat="1" ht="13.15">
      <c r="F18" s="17"/>
      <c r="G18" s="17"/>
      <c r="H18" s="17"/>
      <c r="I18" s="17"/>
      <c r="J18" s="17"/>
    </row>
    <row r="19" spans="5:10" s="1" customFormat="1" ht="13.15">
      <c r="E19" s="17"/>
      <c r="F19" s="17"/>
      <c r="G19" s="17"/>
      <c r="H19" s="17"/>
      <c r="I19" s="17"/>
      <c r="J19" s="17"/>
    </row>
    <row r="20" spans="5:10" s="1" customFormat="1" ht="13.15">
      <c r="E20" s="17"/>
      <c r="F20" s="17"/>
      <c r="G20" s="17"/>
      <c r="H20" s="17"/>
      <c r="I20" s="17"/>
      <c r="J20" s="17"/>
    </row>
    <row r="21" spans="5:10" s="1" customFormat="1" ht="13.15">
      <c r="E21" s="17"/>
      <c r="F21" s="17"/>
      <c r="G21" s="17"/>
      <c r="H21" s="17"/>
      <c r="I21" s="17"/>
      <c r="J21" s="17"/>
    </row>
    <row r="22" spans="5:10" s="1" customFormat="1" ht="13.15">
      <c r="E22" s="17"/>
      <c r="G22" s="17"/>
      <c r="I22" s="17"/>
      <c r="J22" s="17"/>
    </row>
    <row r="23" spans="5:10" s="1" customFormat="1" ht="13.15">
      <c r="E23" s="17"/>
      <c r="F23" s="17"/>
      <c r="G23" s="17"/>
      <c r="H23" s="17"/>
      <c r="I23" s="17"/>
      <c r="J23" s="17"/>
    </row>
    <row r="24" spans="5:10" s="1" customFormat="1" ht="13.15">
      <c r="E24" s="17"/>
      <c r="F24" s="17"/>
      <c r="G24" s="17"/>
      <c r="H24" s="17"/>
      <c r="I24" s="17"/>
      <c r="J24" s="17"/>
    </row>
    <row r="25" spans="5:10">
      <c r="E25" s="11"/>
      <c r="F25" s="11"/>
      <c r="G25" s="11"/>
      <c r="H25" s="11"/>
      <c r="I25" s="11"/>
      <c r="J25" s="11"/>
    </row>
    <row r="26" spans="5:10">
      <c r="E26" s="11"/>
      <c r="F26" s="11"/>
      <c r="G26" s="11"/>
      <c r="H26" s="11"/>
      <c r="I26" s="11"/>
      <c r="J26" s="11"/>
    </row>
    <row r="30" spans="5:10">
      <c r="E30" s="11"/>
      <c r="F30" s="11"/>
      <c r="G30" s="11"/>
      <c r="H30" s="11"/>
      <c r="I30" s="11"/>
      <c r="J30" s="11"/>
    </row>
    <row r="31" spans="5:10">
      <c r="E31" s="11"/>
      <c r="F31" s="11"/>
      <c r="G31" s="11"/>
      <c r="H31" s="11"/>
      <c r="I31" s="11"/>
      <c r="J31" s="11"/>
    </row>
  </sheetData>
  <mergeCells count="2">
    <mergeCell ref="K3:L3"/>
    <mergeCell ref="B3:C3"/>
  </mergeCells>
  <phoneticPr fontId="44" type="noConversion"/>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BC5698-C5D8-4161-9C61-3A470D39562C}">
  <sheetPr codeName="Sheet12">
    <tabColor rgb="FFFFDB8E"/>
  </sheetPr>
  <dimension ref="A1:AN54"/>
  <sheetViews>
    <sheetView zoomScale="80" zoomScaleNormal="80" workbookViewId="0"/>
  </sheetViews>
  <sheetFormatPr defaultRowHeight="12.75"/>
  <cols>
    <col min="1" max="1" width="10.28515625" customWidth="1"/>
    <col min="2" max="2" width="10.7109375" customWidth="1"/>
    <col min="3" max="3" width="39.85546875" customWidth="1"/>
    <col min="4" max="4" width="7.140625" bestFit="1" customWidth="1"/>
    <col min="5" max="5" width="14" bestFit="1" customWidth="1"/>
    <col min="6" max="6" width="8" bestFit="1" customWidth="1"/>
    <col min="7" max="10" width="7.28515625" bestFit="1" customWidth="1"/>
    <col min="12" max="12" width="16.5703125" bestFit="1" customWidth="1"/>
    <col min="13" max="13" width="31.5703125" bestFit="1" customWidth="1"/>
    <col min="14" max="14" width="16.7109375" bestFit="1" customWidth="1"/>
    <col min="15" max="15" width="11.5703125" bestFit="1" customWidth="1"/>
  </cols>
  <sheetData>
    <row r="1" spans="1:40" s="209" customFormat="1" ht="32.85" customHeight="1">
      <c r="A1" s="210" t="e">
        <f ca="1" xml:space="preserve"> RIGHT(CELL("filename", A1), LEN(CELL("filename", A1)) - SEARCH("]", CELL("filename", A1)))</f>
        <v>#VALUE!</v>
      </c>
      <c r="B1" s="210"/>
      <c r="C1" s="210"/>
      <c r="D1" s="210"/>
      <c r="E1" s="210"/>
      <c r="F1" s="210"/>
      <c r="G1" s="210"/>
      <c r="H1" s="210"/>
      <c r="I1" s="210"/>
      <c r="J1" s="210"/>
      <c r="K1" s="210"/>
      <c r="L1" s="210"/>
      <c r="M1" s="210"/>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row>
    <row r="3" spans="1:40" ht="13.15">
      <c r="A3" s="19" t="s">
        <v>79</v>
      </c>
      <c r="B3" s="19" t="s">
        <v>80</v>
      </c>
      <c r="C3" s="19" t="s">
        <v>81</v>
      </c>
      <c r="D3" s="19" t="s">
        <v>82</v>
      </c>
      <c r="E3" s="19" t="s">
        <v>83</v>
      </c>
      <c r="F3" s="19" t="s">
        <v>84</v>
      </c>
      <c r="G3" s="19" t="s">
        <v>85</v>
      </c>
      <c r="H3" s="19" t="s">
        <v>86</v>
      </c>
      <c r="I3" s="19" t="s">
        <v>87</v>
      </c>
      <c r="J3" s="19" t="s">
        <v>88</v>
      </c>
      <c r="K3" s="19" t="s">
        <v>89</v>
      </c>
      <c r="L3" s="19" t="s">
        <v>167</v>
      </c>
    </row>
    <row r="4" spans="1:40" s="1" customFormat="1" ht="13.15">
      <c r="A4" s="16" t="s">
        <v>57</v>
      </c>
      <c r="B4" s="16" t="s">
        <v>168</v>
      </c>
      <c r="C4" s="16" t="s">
        <v>162</v>
      </c>
      <c r="D4" s="20" t="s">
        <v>60</v>
      </c>
      <c r="E4" s="20" t="s">
        <v>54</v>
      </c>
      <c r="F4" s="26">
        <f>IF($L4="Y",SUMIFS(Reallocations!E$5:E$13,Reallocations!$A$5:$A$13,'F_Input Override'!$A4),SUMIFS(Inputs!D$4:D$42,Inputs!$A$4:$A$42,'F_Input Override'!$A4))</f>
        <v>169.529</v>
      </c>
      <c r="G4" s="26">
        <f>IF($L4="Y",SUMIFS(Reallocations!F$5:F$13,Reallocations!$A$5:$A$13,'F_Input Override'!$A4),SUMIFS(Inputs!E$4:E$42,Inputs!$A$4:$A$42,'F_Input Override'!$A4))</f>
        <v>168.9348</v>
      </c>
      <c r="H4" s="26">
        <f>IF($L4="Y",SUMIFS(Reallocations!G$5:G$13,Reallocations!$A$5:$A$13,'F_Input Override'!$A4),SUMIFS(Inputs!F$4:F$42,Inputs!$A$4:$A$42,'F_Input Override'!$A4))</f>
        <v>196.54390000000001</v>
      </c>
      <c r="I4" s="26">
        <f>IF($L4="Y",SUMIFS(Reallocations!H$5:H$13,Reallocations!$A$5:$A$13,'F_Input Override'!$A4),SUMIFS(Inputs!G$4:G$42,Inputs!$A$4:$A$42,'F_Input Override'!$A4))</f>
        <v>143.87030000000001</v>
      </c>
      <c r="J4" s="26">
        <f>IF($L4="Y",SUMIFS(Reallocations!I$5:I$13,Reallocations!$A$5:$A$13,'F_Input Override'!$A4),SUMIFS(Inputs!H$4:H$42,Inputs!$A$4:$A$42,'F_Input Override'!$A4))</f>
        <v>43.631999999999998</v>
      </c>
      <c r="K4" s="24">
        <f>SUM(F4:J4)</f>
        <v>722.51</v>
      </c>
      <c r="L4" s="134" t="str">
        <f>IF(SUMIFS(Reallocations!$J$5:$J$14,Reallocations!$A$5:$A$14,'F_Input Override'!A4)&gt;0,"Y","N")</f>
        <v>Y</v>
      </c>
    </row>
    <row r="5" spans="1:40" s="1" customFormat="1" ht="13.15">
      <c r="A5" s="16" t="s">
        <v>61</v>
      </c>
      <c r="B5" s="16" t="s">
        <v>168</v>
      </c>
      <c r="C5" s="16" t="s">
        <v>162</v>
      </c>
      <c r="D5" s="20" t="s">
        <v>60</v>
      </c>
      <c r="E5" s="20" t="s">
        <v>54</v>
      </c>
      <c r="F5" s="26">
        <f>IF($L5="Y",SUMIFS(Reallocations!E$5:E$13,Reallocations!$A$5:$A$13,'F_Input Override'!$A5),SUMIFS(Inputs!D$4:D$42,Inputs!$A$4:$A$42,'F_Input Override'!$A5))</f>
        <v>0</v>
      </c>
      <c r="G5" s="26">
        <f>IF($L5="Y",SUMIFS(Reallocations!F$5:F$13,Reallocations!$A$5:$A$13,'F_Input Override'!$A5),SUMIFS(Inputs!E$4:E$42,Inputs!$A$4:$A$42,'F_Input Override'!$A5))</f>
        <v>0</v>
      </c>
      <c r="H5" s="26">
        <f>IF($L5="Y",SUMIFS(Reallocations!G$5:G$13,Reallocations!$A$5:$A$13,'F_Input Override'!$A5),SUMIFS(Inputs!F$4:F$42,Inputs!$A$4:$A$42,'F_Input Override'!$A5))</f>
        <v>0</v>
      </c>
      <c r="I5" s="26">
        <f>IF($L5="Y",SUMIFS(Reallocations!H$5:H$13,Reallocations!$A$5:$A$13,'F_Input Override'!$A5),SUMIFS(Inputs!G$4:G$42,Inputs!$A$4:$A$42,'F_Input Override'!$A5))</f>
        <v>0</v>
      </c>
      <c r="J5" s="26">
        <f>IF($L5="Y",SUMIFS(Reallocations!I$5:I$13,Reallocations!$A$5:$A$13,'F_Input Override'!$A5),SUMIFS(Inputs!H$4:H$42,Inputs!$A$4:$A$42,'F_Input Override'!$A5))</f>
        <v>0</v>
      </c>
      <c r="K5" s="24">
        <f>SUM(F5:J5)</f>
        <v>0</v>
      </c>
      <c r="L5" s="134" t="str">
        <f>IF(SUMIFS(Reallocations!$J$5:$J$14,Reallocations!$A$5:$A$14,'F_Input Override'!A5)&gt;0,"Y","N")</f>
        <v>N</v>
      </c>
      <c r="Q5" s="165"/>
    </row>
    <row r="6" spans="1:40" s="1" customFormat="1" ht="13.15">
      <c r="A6" s="16" t="s">
        <v>62</v>
      </c>
      <c r="B6" s="16" t="s">
        <v>168</v>
      </c>
      <c r="C6" s="16" t="s">
        <v>162</v>
      </c>
      <c r="D6" s="20" t="s">
        <v>60</v>
      </c>
      <c r="E6" s="20" t="s">
        <v>54</v>
      </c>
      <c r="F6" s="26">
        <f>IF($L6="Y",SUMIFS(Reallocations!E$5:E$13,Reallocations!$A$5:$A$13,'F_Input Override'!$A6),SUMIFS(Inputs!D$4:D$42,Inputs!$A$4:$A$42,'F_Input Override'!$A6))</f>
        <v>0</v>
      </c>
      <c r="G6" s="26">
        <f>IF($L6="Y",SUMIFS(Reallocations!F$5:F$13,Reallocations!$A$5:$A$13,'F_Input Override'!$A6),SUMIFS(Inputs!E$4:E$42,Inputs!$A$4:$A$42,'F_Input Override'!$A6))</f>
        <v>0</v>
      </c>
      <c r="H6" s="26">
        <f>IF($L6="Y",SUMIFS(Reallocations!G$5:G$13,Reallocations!$A$5:$A$13,'F_Input Override'!$A6),SUMIFS(Inputs!F$4:F$42,Inputs!$A$4:$A$42,'F_Input Override'!$A6))</f>
        <v>0</v>
      </c>
      <c r="I6" s="26">
        <f>IF($L6="Y",SUMIFS(Reallocations!H$5:H$13,Reallocations!$A$5:$A$13,'F_Input Override'!$A6),SUMIFS(Inputs!G$4:G$42,Inputs!$A$4:$A$42,'F_Input Override'!$A6))</f>
        <v>0</v>
      </c>
      <c r="J6" s="26">
        <f>IF($L6="Y",SUMIFS(Reallocations!I$5:I$13,Reallocations!$A$5:$A$13,'F_Input Override'!$A6),SUMIFS(Inputs!H$4:H$42,Inputs!$A$4:$A$42,'F_Input Override'!$A6))</f>
        <v>0</v>
      </c>
      <c r="K6" s="24">
        <f t="shared" ref="K6:K14" si="0">SUM(F6:J6)</f>
        <v>0</v>
      </c>
      <c r="L6" s="134" t="str">
        <f>IF(SUMIFS(Reallocations!$J$5:$J$14,Reallocations!$A$5:$A$14,'F_Input Override'!A6)&gt;0,"Y","N")</f>
        <v>N</v>
      </c>
    </row>
    <row r="7" spans="1:40" s="1" customFormat="1" ht="13.15">
      <c r="A7" s="16" t="s">
        <v>63</v>
      </c>
      <c r="B7" s="16" t="s">
        <v>168</v>
      </c>
      <c r="C7" s="16" t="s">
        <v>162</v>
      </c>
      <c r="D7" s="20" t="s">
        <v>60</v>
      </c>
      <c r="E7" s="20" t="s">
        <v>54</v>
      </c>
      <c r="F7" s="26">
        <f>IF($L7="Y",SUMIFS(Reallocations!E$5:E$13,Reallocations!$A$5:$A$13,'F_Input Override'!$A7),SUMIFS(Inputs!D$4:D$42,Inputs!$A$4:$A$42,'F_Input Override'!$A7))</f>
        <v>0.56999999999999995</v>
      </c>
      <c r="G7" s="26">
        <f>IF($L7="Y",SUMIFS(Reallocations!F$5:F$13,Reallocations!$A$5:$A$13,'F_Input Override'!$A7),SUMIFS(Inputs!E$4:E$42,Inputs!$A$4:$A$42,'F_Input Override'!$A7))</f>
        <v>5.9859999999999998</v>
      </c>
      <c r="H7" s="26">
        <f>IF($L7="Y",SUMIFS(Reallocations!G$5:G$13,Reallocations!$A$5:$A$13,'F_Input Override'!$A7),SUMIFS(Inputs!F$4:F$42,Inputs!$A$4:$A$42,'F_Input Override'!$A7))</f>
        <v>0.47</v>
      </c>
      <c r="I7" s="26">
        <f>IF($L7="Y",SUMIFS(Reallocations!H$5:H$13,Reallocations!$A$5:$A$13,'F_Input Override'!$A7),SUMIFS(Inputs!G$4:G$42,Inputs!$A$4:$A$42,'F_Input Override'!$A7))</f>
        <v>0.51</v>
      </c>
      <c r="J7" s="26">
        <f>IF($L7="Y",SUMIFS(Reallocations!I$5:I$13,Reallocations!$A$5:$A$13,'F_Input Override'!$A7),SUMIFS(Inputs!H$4:H$42,Inputs!$A$4:$A$42,'F_Input Override'!$A7))</f>
        <v>0.59</v>
      </c>
      <c r="K7" s="24">
        <f t="shared" si="0"/>
        <v>8.1259999999999994</v>
      </c>
      <c r="L7" s="134" t="str">
        <f>IF(SUMIFS(Reallocations!$J$5:$J$14,Reallocations!$A$5:$A$14,'F_Input Override'!A7)&gt;0,"Y","N")</f>
        <v>Y</v>
      </c>
    </row>
    <row r="8" spans="1:40" s="1" customFormat="1" ht="13.15">
      <c r="A8" s="16" t="s">
        <v>64</v>
      </c>
      <c r="B8" s="16" t="s">
        <v>168</v>
      </c>
      <c r="C8" s="16" t="s">
        <v>162</v>
      </c>
      <c r="D8" s="20" t="s">
        <v>60</v>
      </c>
      <c r="E8" s="20" t="s">
        <v>54</v>
      </c>
      <c r="F8" s="26">
        <f>IF($L8="Y",SUMIFS(Reallocations!E$5:E$13,Reallocations!$A$5:$A$13,'F_Input Override'!$A8),SUMIFS(Inputs!D$4:D$42,Inputs!$A$4:$A$42,'F_Input Override'!$A8))</f>
        <v>12.355999999999998</v>
      </c>
      <c r="G8" s="26">
        <f>IF($L8="Y",SUMIFS(Reallocations!F$5:F$13,Reallocations!$A$5:$A$13,'F_Input Override'!$A8),SUMIFS(Inputs!E$4:E$42,Inputs!$A$4:$A$42,'F_Input Override'!$A8))</f>
        <v>16.242999999999999</v>
      </c>
      <c r="H8" s="26">
        <f>IF($L8="Y",SUMIFS(Reallocations!G$5:G$13,Reallocations!$A$5:$A$13,'F_Input Override'!$A8),SUMIFS(Inputs!F$4:F$42,Inputs!$A$4:$A$42,'F_Input Override'!$A8))</f>
        <v>8.2809999999999988</v>
      </c>
      <c r="I8" s="26">
        <f>IF($L8="Y",SUMIFS(Reallocations!H$5:H$13,Reallocations!$A$5:$A$13,'F_Input Override'!$A8),SUMIFS(Inputs!G$4:G$42,Inputs!$A$4:$A$42,'F_Input Override'!$A8))</f>
        <v>5.7089999999999996</v>
      </c>
      <c r="J8" s="26">
        <f>IF($L8="Y",SUMIFS(Reallocations!I$5:I$13,Reallocations!$A$5:$A$13,'F_Input Override'!$A8),SUMIFS(Inputs!H$4:H$42,Inputs!$A$4:$A$42,'F_Input Override'!$A8))</f>
        <v>3.367</v>
      </c>
      <c r="K8" s="24">
        <f t="shared" si="0"/>
        <v>45.955999999999996</v>
      </c>
      <c r="L8" s="134" t="str">
        <f>IF(SUMIFS(Reallocations!$J$5:$J$14,Reallocations!$A$5:$A$14,'F_Input Override'!A8)&gt;0,"Y","N")</f>
        <v>Y</v>
      </c>
    </row>
    <row r="9" spans="1:40" s="1" customFormat="1" ht="13.15">
      <c r="A9" s="16" t="s">
        <v>65</v>
      </c>
      <c r="B9" s="16" t="s">
        <v>168</v>
      </c>
      <c r="C9" s="16" t="s">
        <v>162</v>
      </c>
      <c r="D9" s="20" t="s">
        <v>60</v>
      </c>
      <c r="E9" s="20" t="s">
        <v>54</v>
      </c>
      <c r="F9" s="26">
        <f>IF($L9="Y",SUMIFS(Reallocations!E$5:E$13,Reallocations!$A$5:$A$13,'F_Input Override'!$A9),SUMIFS(Inputs!D$4:D$42,Inputs!$A$4:$A$42,'F_Input Override'!$A9))</f>
        <v>13.3316</v>
      </c>
      <c r="G9" s="26">
        <f>IF($L9="Y",SUMIFS(Reallocations!F$5:F$13,Reallocations!$A$5:$A$13,'F_Input Override'!$A9),SUMIFS(Inputs!E$4:E$42,Inputs!$A$4:$A$42,'F_Input Override'!$A9))</f>
        <v>13.2376</v>
      </c>
      <c r="H9" s="26">
        <f>IF($L9="Y",SUMIFS(Reallocations!G$5:G$13,Reallocations!$A$5:$A$13,'F_Input Override'!$A9),SUMIFS(Inputs!F$4:F$42,Inputs!$A$4:$A$42,'F_Input Override'!$A9))</f>
        <v>14.566599999999999</v>
      </c>
      <c r="I9" s="26">
        <f>IF($L9="Y",SUMIFS(Reallocations!H$5:H$13,Reallocations!$A$5:$A$13,'F_Input Override'!$A9),SUMIFS(Inputs!G$4:G$42,Inputs!$A$4:$A$42,'F_Input Override'!$A9))</f>
        <v>16.869599999999998</v>
      </c>
      <c r="J9" s="26">
        <f>IF($L9="Y",SUMIFS(Reallocations!I$5:I$13,Reallocations!$A$5:$A$13,'F_Input Override'!$A9),SUMIFS(Inputs!H$4:H$42,Inputs!$A$4:$A$42,'F_Input Override'!$A9))</f>
        <v>12.8886</v>
      </c>
      <c r="K9" s="24">
        <f t="shared" si="0"/>
        <v>70.894000000000005</v>
      </c>
      <c r="L9" s="134" t="str">
        <f>IF(SUMIFS(Reallocations!$J$5:$J$14,Reallocations!$A$5:$A$14,'F_Input Override'!A9)&gt;0,"Y","N")</f>
        <v>Y</v>
      </c>
    </row>
    <row r="10" spans="1:40" s="1" customFormat="1" ht="13.15">
      <c r="A10" s="16" t="s">
        <v>66</v>
      </c>
      <c r="B10" s="16" t="s">
        <v>168</v>
      </c>
      <c r="C10" s="16" t="s">
        <v>162</v>
      </c>
      <c r="D10" s="20" t="s">
        <v>60</v>
      </c>
      <c r="E10" s="20" t="s">
        <v>54</v>
      </c>
      <c r="F10" s="26">
        <f>IF($L10="Y",SUMIFS(Reallocations!E$5:E$13,Reallocations!$A$5:$A$13,'F_Input Override'!$A10),SUMIFS(Inputs!D$4:D$42,Inputs!$A$4:$A$42,'F_Input Override'!$A10))</f>
        <v>93.056000000000012</v>
      </c>
      <c r="G10" s="26">
        <f>IF($L10="Y",SUMIFS(Reallocations!F$5:F$13,Reallocations!$A$5:$A$13,'F_Input Override'!$A10),SUMIFS(Inputs!E$4:E$42,Inputs!$A$4:$A$42,'F_Input Override'!$A10))</f>
        <v>89.454000000000008</v>
      </c>
      <c r="H10" s="26">
        <f>IF($L10="Y",SUMIFS(Reallocations!G$5:G$13,Reallocations!$A$5:$A$13,'F_Input Override'!$A10),SUMIFS(Inputs!F$4:F$42,Inputs!$A$4:$A$42,'F_Input Override'!$A10))</f>
        <v>85.296999999999997</v>
      </c>
      <c r="I10" s="26">
        <f>IF($L10="Y",SUMIFS(Reallocations!H$5:H$13,Reallocations!$A$5:$A$13,'F_Input Override'!$A10),SUMIFS(Inputs!G$4:G$42,Inputs!$A$4:$A$42,'F_Input Override'!$A10))</f>
        <v>45.665999999999997</v>
      </c>
      <c r="J10" s="26">
        <f>IF($L10="Y",SUMIFS(Reallocations!I$5:I$13,Reallocations!$A$5:$A$13,'F_Input Override'!$A10),SUMIFS(Inputs!H$4:H$42,Inputs!$A$4:$A$42,'F_Input Override'!$A10))</f>
        <v>38.700000000000003</v>
      </c>
      <c r="K10" s="24">
        <f t="shared" si="0"/>
        <v>352.173</v>
      </c>
      <c r="L10" s="134" t="str">
        <f>IF(SUMIFS(Reallocations!$J$5:$J$14,Reallocations!$A$5:$A$14,'F_Input Override'!A10)&gt;0,"Y","N")</f>
        <v>N</v>
      </c>
    </row>
    <row r="11" spans="1:40" s="1" customFormat="1" ht="13.15">
      <c r="A11" s="16" t="s">
        <v>67</v>
      </c>
      <c r="B11" s="16" t="s">
        <v>168</v>
      </c>
      <c r="C11" s="16" t="s">
        <v>162</v>
      </c>
      <c r="D11" s="20" t="s">
        <v>60</v>
      </c>
      <c r="E11" s="20" t="s">
        <v>54</v>
      </c>
      <c r="F11" s="26">
        <f>IF($L11="Y",SUMIFS(Reallocations!E$5:E$13,Reallocations!$A$5:$A$13,'F_Input Override'!$A11),SUMIFS(Inputs!D$4:D$42,Inputs!$A$4:$A$42,'F_Input Override'!$A11))</f>
        <v>80.763448211687461</v>
      </c>
      <c r="G11" s="26">
        <f>IF($L11="Y",SUMIFS(Reallocations!F$5:F$13,Reallocations!$A$5:$A$13,'F_Input Override'!$A11),SUMIFS(Inputs!E$4:E$42,Inputs!$A$4:$A$42,'F_Input Override'!$A11))</f>
        <v>83.791205912541017</v>
      </c>
      <c r="H11" s="26">
        <f>IF($L11="Y",SUMIFS(Reallocations!G$5:G$13,Reallocations!$A$5:$A$13,'F_Input Override'!$A11),SUMIFS(Inputs!F$4:F$42,Inputs!$A$4:$A$42,'F_Input Override'!$A11))</f>
        <v>92.430999999999997</v>
      </c>
      <c r="I11" s="26">
        <f>IF($L11="Y",SUMIFS(Reallocations!H$5:H$13,Reallocations!$A$5:$A$13,'F_Input Override'!$A11),SUMIFS(Inputs!G$4:G$42,Inputs!$A$4:$A$42,'F_Input Override'!$A11))</f>
        <v>130.10900000000001</v>
      </c>
      <c r="J11" s="26">
        <f>IF($L11="Y",SUMIFS(Reallocations!I$5:I$13,Reallocations!$A$5:$A$13,'F_Input Override'!$A11),SUMIFS(Inputs!H$4:H$42,Inputs!$A$4:$A$42,'F_Input Override'!$A11))</f>
        <v>469.16899999999998</v>
      </c>
      <c r="K11" s="24">
        <f t="shared" si="0"/>
        <v>856.26365412422842</v>
      </c>
      <c r="L11" s="134" t="str">
        <f>IF(SUMIFS(Reallocations!$J$5:$J$14,Reallocations!$A$5:$A$14,'F_Input Override'!A11)&gt;0,"Y","N")</f>
        <v>Y</v>
      </c>
    </row>
    <row r="12" spans="1:40" s="1" customFormat="1" ht="13.15">
      <c r="A12" s="16" t="s">
        <v>68</v>
      </c>
      <c r="B12" s="20" t="s">
        <v>168</v>
      </c>
      <c r="C12" s="20" t="s">
        <v>162</v>
      </c>
      <c r="D12" s="20" t="s">
        <v>60</v>
      </c>
      <c r="E12" s="20" t="s">
        <v>54</v>
      </c>
      <c r="F12" s="26">
        <f>IF($L12="Y",SUMIFS(Reallocations!E$5:E$13,Reallocations!$A$5:$A$13,'F_Input Override'!$A12),SUMIFS(Inputs!D$4:D$42,Inputs!$A$4:$A$42,'F_Input Override'!$A12))</f>
        <v>9.5784231660000003</v>
      </c>
      <c r="G12" s="26">
        <f>IF($L12="Y",SUMIFS(Reallocations!F$5:F$13,Reallocations!$A$5:$A$13,'F_Input Override'!$A12),SUMIFS(Inputs!E$4:E$42,Inputs!$A$4:$A$42,'F_Input Override'!$A12))</f>
        <v>8.4981134735000001</v>
      </c>
      <c r="H12" s="26">
        <f>IF($L12="Y",SUMIFS(Reallocations!G$5:G$13,Reallocations!$A$5:$A$13,'F_Input Override'!$A12),SUMIFS(Inputs!F$4:F$42,Inputs!$A$4:$A$42,'F_Input Override'!$A12))</f>
        <v>7.5708726617900002</v>
      </c>
      <c r="I12" s="26">
        <f>IF($L12="Y",SUMIFS(Reallocations!H$5:H$13,Reallocations!$A$5:$A$13,'F_Input Override'!$A12),SUMIFS(Inputs!G$4:G$42,Inputs!$A$4:$A$42,'F_Input Override'!$A12))</f>
        <v>7.087231251505</v>
      </c>
      <c r="J12" s="26">
        <f>IF($L12="Y",SUMIFS(Reallocations!I$5:I$13,Reallocations!$A$5:$A$13,'F_Input Override'!$A12),SUMIFS(Inputs!H$4:H$42,Inputs!$A$4:$A$42,'F_Input Override'!$A12))</f>
        <v>8.5734613423030002</v>
      </c>
      <c r="K12" s="24">
        <f t="shared" si="0"/>
        <v>41.308101895097998</v>
      </c>
      <c r="L12" s="134" t="str">
        <f>IF(SUMIFS(Reallocations!$J$5:$J$14,Reallocations!$A$5:$A$14,'F_Input Override'!A12)&gt;0,"Y","N")</f>
        <v>Y</v>
      </c>
    </row>
    <row r="13" spans="1:40" s="1" customFormat="1" ht="13.15">
      <c r="A13" s="16" t="s">
        <v>69</v>
      </c>
      <c r="B13" s="20" t="s">
        <v>168</v>
      </c>
      <c r="C13" s="20" t="s">
        <v>162</v>
      </c>
      <c r="D13" s="20" t="s">
        <v>60</v>
      </c>
      <c r="E13" s="20" t="s">
        <v>54</v>
      </c>
      <c r="F13" s="26">
        <f>IF($L13="Y",SUMIFS(Reallocations!E$5:E$13,Reallocations!$A$5:$A$13,'F_Input Override'!$A13),SUMIFS(Inputs!D$4:D$42,Inputs!$A$4:$A$42,'F_Input Override'!$A13))</f>
        <v>12.145180000000002</v>
      </c>
      <c r="G13" s="26">
        <f>IF($L13="Y",SUMIFS(Reallocations!F$5:F$13,Reallocations!$A$5:$A$13,'F_Input Override'!$A13),SUMIFS(Inputs!E$4:E$42,Inputs!$A$4:$A$42,'F_Input Override'!$A13))</f>
        <v>10.787710000000001</v>
      </c>
      <c r="H13" s="26">
        <f>IF($L13="Y",SUMIFS(Reallocations!G$5:G$13,Reallocations!$A$5:$A$13,'F_Input Override'!$A13),SUMIFS(Inputs!F$4:F$42,Inputs!$A$4:$A$42,'F_Input Override'!$A13))</f>
        <v>17.218240000000002</v>
      </c>
      <c r="I13" s="26">
        <f>IF($L13="Y",SUMIFS(Reallocations!H$5:H$13,Reallocations!$A$5:$A$13,'F_Input Override'!$A13),SUMIFS(Inputs!G$4:G$42,Inputs!$A$4:$A$42,'F_Input Override'!$A13))</f>
        <v>17.987770000000001</v>
      </c>
      <c r="J13" s="26">
        <f>IF($L13="Y",SUMIFS(Reallocations!I$5:I$13,Reallocations!$A$5:$A$13,'F_Input Override'!$A13),SUMIFS(Inputs!H$4:H$42,Inputs!$A$4:$A$42,'F_Input Override'!$A13))</f>
        <v>14.1403</v>
      </c>
      <c r="K13" s="24">
        <f t="shared" si="0"/>
        <v>72.279200000000003</v>
      </c>
      <c r="L13" s="134" t="str">
        <f>IF(SUMIFS(Reallocations!$J$5:$J$14,Reallocations!$A$5:$A$14,'F_Input Override'!A13)&gt;0,"Y","N")</f>
        <v>N</v>
      </c>
    </row>
    <row r="14" spans="1:40" s="1" customFormat="1" ht="13.15">
      <c r="A14" s="16" t="s">
        <v>70</v>
      </c>
      <c r="B14" s="16" t="s">
        <v>168</v>
      </c>
      <c r="C14" s="16" t="s">
        <v>162</v>
      </c>
      <c r="D14" s="20" t="s">
        <v>60</v>
      </c>
      <c r="E14" s="20" t="s">
        <v>54</v>
      </c>
      <c r="F14" s="26">
        <f>IF($L14="Y",SUMIFS(Reallocations!E$5:E$13,Reallocations!$A$5:$A$13,'F_Input Override'!$A14),SUMIFS(Inputs!D$4:D$42,Inputs!$A$4:$A$42,'F_Input Override'!$A14))</f>
        <v>3.5999999999999996</v>
      </c>
      <c r="G14" s="26">
        <f>IF($L14="Y",SUMIFS(Reallocations!F$5:F$13,Reallocations!$A$5:$A$13,'F_Input Override'!$A14),SUMIFS(Inputs!E$4:E$42,Inputs!$A$4:$A$42,'F_Input Override'!$A14))</f>
        <v>5.62</v>
      </c>
      <c r="H14" s="26">
        <f>IF($L14="Y",SUMIFS(Reallocations!G$5:G$13,Reallocations!$A$5:$A$13,'F_Input Override'!$A14),SUMIFS(Inputs!F$4:F$42,Inputs!$A$4:$A$42,'F_Input Override'!$A14))</f>
        <v>6.6070000000000011</v>
      </c>
      <c r="I14" s="26">
        <f>IF($L14="Y",SUMIFS(Reallocations!H$5:H$13,Reallocations!$A$5:$A$13,'F_Input Override'!$A14),SUMIFS(Inputs!G$4:G$42,Inputs!$A$4:$A$42,'F_Input Override'!$A14))</f>
        <v>9.9250000000000007</v>
      </c>
      <c r="J14" s="26">
        <f>IF($L14="Y",SUMIFS(Reallocations!I$5:I$13,Reallocations!$A$5:$A$13,'F_Input Override'!$A14),SUMIFS(Inputs!H$4:H$42,Inputs!$A$4:$A$42,'F_Input Override'!$A14))</f>
        <v>9.6800000000000015</v>
      </c>
      <c r="K14" s="24">
        <f t="shared" si="0"/>
        <v>35.432000000000002</v>
      </c>
      <c r="L14" s="134" t="str">
        <f>IF(SUMIFS(Reallocations!$J$5:$J$14,Reallocations!$A$5:$A$14,'F_Input Override'!A14)&gt;0,"Y","N")</f>
        <v>N</v>
      </c>
    </row>
    <row r="15" spans="1:40" s="1" customFormat="1" ht="13.15">
      <c r="A15" s="16" t="s">
        <v>71</v>
      </c>
      <c r="B15" s="16" t="s">
        <v>168</v>
      </c>
      <c r="C15" s="16" t="s">
        <v>162</v>
      </c>
      <c r="D15" s="20" t="s">
        <v>60</v>
      </c>
      <c r="E15" s="20" t="s">
        <v>54</v>
      </c>
      <c r="F15" s="26">
        <f>IF($L15="Y",SUMIFS(Reallocations!E$5:E$13,Reallocations!$A$5:$A$13,'F_Input Override'!$A15),SUMIFS(Inputs!D$4:D$42,Inputs!$A$4:$A$42,'F_Input Override'!$A15))</f>
        <v>15.876999999999999</v>
      </c>
      <c r="G15" s="26">
        <f>IF($L15="Y",SUMIFS(Reallocations!F$5:F$13,Reallocations!$A$5:$A$13,'F_Input Override'!$A15),SUMIFS(Inputs!E$4:E$42,Inputs!$A$4:$A$42,'F_Input Override'!$A15))</f>
        <v>22.305</v>
      </c>
      <c r="H15" s="26">
        <f>IF($L15="Y",SUMIFS(Reallocations!G$5:G$13,Reallocations!$A$5:$A$13,'F_Input Override'!$A15),SUMIFS(Inputs!F$4:F$42,Inputs!$A$4:$A$42,'F_Input Override'!$A15))</f>
        <v>15.747</v>
      </c>
      <c r="I15" s="26">
        <f>IF($L15="Y",SUMIFS(Reallocations!H$5:H$13,Reallocations!$A$5:$A$13,'F_Input Override'!$A15),SUMIFS(Inputs!G$4:G$42,Inputs!$A$4:$A$42,'F_Input Override'!$A15))</f>
        <v>13.186</v>
      </c>
      <c r="J15" s="26">
        <f>IF($L15="Y",SUMIFS(Reallocations!I$5:I$13,Reallocations!$A$5:$A$13,'F_Input Override'!$A15),SUMIFS(Inputs!H$4:H$42,Inputs!$A$4:$A$42,'F_Input Override'!$A15))</f>
        <v>5.2650000000000006</v>
      </c>
      <c r="K15" s="24">
        <f>SUM(F15:J15)</f>
        <v>72.38000000000001</v>
      </c>
      <c r="L15" s="134" t="str">
        <f>IF(SUMIFS(Reallocations!$J$5:$J$14,Reallocations!$A$5:$A$14,'F_Input Override'!A15)&gt;0,"Y","N")</f>
        <v>N</v>
      </c>
    </row>
    <row r="16" spans="1:40" s="1" customFormat="1" ht="13.15">
      <c r="A16" s="16" t="s">
        <v>72</v>
      </c>
      <c r="B16" s="16" t="s">
        <v>168</v>
      </c>
      <c r="C16" s="16" t="s">
        <v>162</v>
      </c>
      <c r="D16" s="20" t="s">
        <v>60</v>
      </c>
      <c r="E16" s="20" t="s">
        <v>54</v>
      </c>
      <c r="F16" s="26">
        <f>IF($L16="Y",SUMIFS(Reallocations!E$5:E$13,Reallocations!$A$5:$A$13,'F_Input Override'!$A16),SUMIFS(Inputs!D$4:D$42,Inputs!$A$4:$A$42,'F_Input Override'!$A16))</f>
        <v>0</v>
      </c>
      <c r="G16" s="26">
        <f>IF($L16="Y",SUMIFS(Reallocations!F$5:F$13,Reallocations!$A$5:$A$13,'F_Input Override'!$A16),SUMIFS(Inputs!E$4:E$42,Inputs!$A$4:$A$42,'F_Input Override'!$A16))</f>
        <v>0</v>
      </c>
      <c r="H16" s="26">
        <f>IF($L16="Y",SUMIFS(Reallocations!G$5:G$13,Reallocations!$A$5:$A$13,'F_Input Override'!$A16),SUMIFS(Inputs!F$4:F$42,Inputs!$A$4:$A$42,'F_Input Override'!$A16))</f>
        <v>0</v>
      </c>
      <c r="I16" s="26">
        <f>IF($L16="Y",SUMIFS(Reallocations!H$5:H$13,Reallocations!$A$5:$A$13,'F_Input Override'!$A16),SUMIFS(Inputs!G$4:G$42,Inputs!$A$4:$A$42,'F_Input Override'!$A16))</f>
        <v>0</v>
      </c>
      <c r="J16" s="26">
        <f>IF($L16="Y",SUMIFS(Reallocations!I$5:I$13,Reallocations!$A$5:$A$13,'F_Input Override'!$A16),SUMIFS(Inputs!H$4:H$42,Inputs!$A$4:$A$42,'F_Input Override'!$A16))</f>
        <v>0</v>
      </c>
      <c r="K16" s="24">
        <f>SUM(F16:J16)</f>
        <v>0</v>
      </c>
      <c r="L16" s="134" t="str">
        <f>IF(SUMIFS(Reallocations!$J$5:$J$14,Reallocations!$A$5:$A$14,'F_Input Override'!A16)&gt;0,"Y","N")</f>
        <v>N</v>
      </c>
    </row>
    <row r="17" spans="1:19" s="1" customFormat="1" ht="13.15">
      <c r="A17" s="16" t="s">
        <v>73</v>
      </c>
      <c r="B17" s="16" t="s">
        <v>168</v>
      </c>
      <c r="C17" s="16" t="s">
        <v>162</v>
      </c>
      <c r="D17" s="20" t="s">
        <v>60</v>
      </c>
      <c r="E17" s="20" t="s">
        <v>54</v>
      </c>
      <c r="F17" s="26">
        <f>IF($L17="Y",SUMIFS(Reallocations!E$5:E$13,Reallocations!$A$5:$A$13,'F_Input Override'!$A17),SUMIFS(Inputs!D$4:D$42,Inputs!$A$4:$A$42,'F_Input Override'!$A17))</f>
        <v>0</v>
      </c>
      <c r="G17" s="26">
        <f>IF($L17="Y",SUMIFS(Reallocations!F$5:F$13,Reallocations!$A$5:$A$13,'F_Input Override'!$A17),SUMIFS(Inputs!E$4:E$42,Inputs!$A$4:$A$42,'F_Input Override'!$A17))</f>
        <v>0</v>
      </c>
      <c r="H17" s="26">
        <f>IF($L17="Y",SUMIFS(Reallocations!G$5:G$13,Reallocations!$A$5:$A$13,'F_Input Override'!$A17),SUMIFS(Inputs!F$4:F$42,Inputs!$A$4:$A$42,'F_Input Override'!$A17))</f>
        <v>0</v>
      </c>
      <c r="I17" s="26">
        <f>IF($L17="Y",SUMIFS(Reallocations!H$5:H$13,Reallocations!$A$5:$A$13,'F_Input Override'!$A17),SUMIFS(Inputs!G$4:G$42,Inputs!$A$4:$A$42,'F_Input Override'!$A17))</f>
        <v>0</v>
      </c>
      <c r="J17" s="26">
        <f>IF($L17="Y",SUMIFS(Reallocations!I$5:I$13,Reallocations!$A$5:$A$13,'F_Input Override'!$A17),SUMIFS(Inputs!H$4:H$42,Inputs!$A$4:$A$42,'F_Input Override'!$A17))</f>
        <v>0</v>
      </c>
      <c r="K17" s="24">
        <f t="shared" ref="K17:K20" si="1">SUM(F17:J17)</f>
        <v>0</v>
      </c>
      <c r="L17" s="134" t="str">
        <f>IF(SUMIFS(Reallocations!$J$5:$J$14,Reallocations!$A$5:$A$14,'F_Input Override'!A17)&gt;0,"Y","N")</f>
        <v>N</v>
      </c>
    </row>
    <row r="18" spans="1:19" s="1" customFormat="1" ht="13.15">
      <c r="A18" s="16" t="s">
        <v>74</v>
      </c>
      <c r="B18" s="16" t="s">
        <v>168</v>
      </c>
      <c r="C18" s="16" t="s">
        <v>162</v>
      </c>
      <c r="D18" s="20" t="s">
        <v>60</v>
      </c>
      <c r="E18" s="20" t="s">
        <v>54</v>
      </c>
      <c r="F18" s="26">
        <f>IF($L18="Y",SUMIFS(Reallocations!E$5:E$13,Reallocations!$A$5:$A$13,'F_Input Override'!$A18),SUMIFS(Inputs!D$4:D$42,Inputs!$A$4:$A$42,'F_Input Override'!$A18))</f>
        <v>14.289</v>
      </c>
      <c r="G18" s="26">
        <f>IF($L18="Y",SUMIFS(Reallocations!F$5:F$13,Reallocations!$A$5:$A$13,'F_Input Override'!$A18),SUMIFS(Inputs!E$4:E$42,Inputs!$A$4:$A$42,'F_Input Override'!$A18))</f>
        <v>11.874000000000001</v>
      </c>
      <c r="H18" s="26">
        <f>IF($L18="Y",SUMIFS(Reallocations!G$5:G$13,Reallocations!$A$5:$A$13,'F_Input Override'!$A18),SUMIFS(Inputs!F$4:F$42,Inputs!$A$4:$A$42,'F_Input Override'!$A18))</f>
        <v>8.0599999999999987</v>
      </c>
      <c r="I18" s="26">
        <f>IF($L18="Y",SUMIFS(Reallocations!H$5:H$13,Reallocations!$A$5:$A$13,'F_Input Override'!$A18),SUMIFS(Inputs!G$4:G$42,Inputs!$A$4:$A$42,'F_Input Override'!$A18))</f>
        <v>5.9420000000000002</v>
      </c>
      <c r="J18" s="26">
        <f>IF($L18="Y",SUMIFS(Reallocations!I$5:I$13,Reallocations!$A$5:$A$13,'F_Input Override'!$A18),SUMIFS(Inputs!H$4:H$42,Inputs!$A$4:$A$42,'F_Input Override'!$A18))</f>
        <v>23.365000000000002</v>
      </c>
      <c r="K18" s="24">
        <f t="shared" si="1"/>
        <v>63.53</v>
      </c>
      <c r="L18" s="134" t="str">
        <f>IF(SUMIFS(Reallocations!$J$5:$J$14,Reallocations!$A$5:$A$14,'F_Input Override'!A18)&gt;0,"Y","N")</f>
        <v>Y</v>
      </c>
    </row>
    <row r="19" spans="1:19" s="1" customFormat="1" ht="13.15">
      <c r="A19" s="16" t="s">
        <v>75</v>
      </c>
      <c r="B19" s="16" t="s">
        <v>168</v>
      </c>
      <c r="C19" s="16" t="s">
        <v>162</v>
      </c>
      <c r="D19" s="20" t="s">
        <v>60</v>
      </c>
      <c r="E19" s="20" t="s">
        <v>54</v>
      </c>
      <c r="F19" s="26">
        <f>IF($L19="Y",SUMIFS(Reallocations!E$5:E$13,Reallocations!$A$5:$A$13,'F_Input Override'!$A19),SUMIFS(Inputs!D$4:D$42,Inputs!$A$4:$A$42,'F_Input Override'!$A19))</f>
        <v>0</v>
      </c>
      <c r="G19" s="26">
        <f>IF($L19="Y",SUMIFS(Reallocations!F$5:F$13,Reallocations!$A$5:$A$13,'F_Input Override'!$A19),SUMIFS(Inputs!E$4:E$42,Inputs!$A$4:$A$42,'F_Input Override'!$A19))</f>
        <v>0</v>
      </c>
      <c r="H19" s="26">
        <f>IF($L19="Y",SUMIFS(Reallocations!G$5:G$13,Reallocations!$A$5:$A$13,'F_Input Override'!$A19),SUMIFS(Inputs!F$4:F$42,Inputs!$A$4:$A$42,'F_Input Override'!$A19))</f>
        <v>0</v>
      </c>
      <c r="I19" s="26">
        <f>IF($L19="Y",SUMIFS(Reallocations!H$5:H$13,Reallocations!$A$5:$A$13,'F_Input Override'!$A19),SUMIFS(Inputs!G$4:G$42,Inputs!$A$4:$A$42,'F_Input Override'!$A19))</f>
        <v>0</v>
      </c>
      <c r="J19" s="26">
        <f>IF($L19="Y",SUMIFS(Reallocations!I$5:I$13,Reallocations!$A$5:$A$13,'F_Input Override'!$A19),SUMIFS(Inputs!H$4:H$42,Inputs!$A$4:$A$42,'F_Input Override'!$A19))</f>
        <v>0</v>
      </c>
      <c r="K19" s="24">
        <f t="shared" si="1"/>
        <v>0</v>
      </c>
      <c r="L19" s="134" t="str">
        <f>IF(SUMIFS(Reallocations!$J$5:$J$14,Reallocations!$A$5:$A$14,'F_Input Override'!A19)&gt;0,"Y","N")</f>
        <v>N</v>
      </c>
    </row>
    <row r="20" spans="1:19" s="1" customFormat="1" ht="13.15">
      <c r="A20" s="16" t="s">
        <v>76</v>
      </c>
      <c r="B20" s="16" t="s">
        <v>168</v>
      </c>
      <c r="C20" s="16" t="s">
        <v>162</v>
      </c>
      <c r="D20" s="20" t="s">
        <v>60</v>
      </c>
      <c r="E20" s="20" t="s">
        <v>54</v>
      </c>
      <c r="F20" s="26">
        <f>IF($L20="Y",SUMIFS(Reallocations!E$5:E$13,Reallocations!$A$5:$A$13,'F_Input Override'!$A20),SUMIFS(Inputs!D$4:D$42,Inputs!$A$4:$A$42,'F_Input Override'!$A20))</f>
        <v>0</v>
      </c>
      <c r="G20" s="26">
        <f>IF($L20="Y",SUMIFS(Reallocations!F$5:F$13,Reallocations!$A$5:$A$13,'F_Input Override'!$A20),SUMIFS(Inputs!E$4:E$42,Inputs!$A$4:$A$42,'F_Input Override'!$A20))</f>
        <v>0</v>
      </c>
      <c r="H20" s="26">
        <f>IF($L20="Y",SUMIFS(Reallocations!G$5:G$13,Reallocations!$A$5:$A$13,'F_Input Override'!$A20),SUMIFS(Inputs!F$4:F$42,Inputs!$A$4:$A$42,'F_Input Override'!$A20))</f>
        <v>0</v>
      </c>
      <c r="I20" s="26">
        <f>IF($L20="Y",SUMIFS(Reallocations!H$5:H$13,Reallocations!$A$5:$A$13,'F_Input Override'!$A20),SUMIFS(Inputs!G$4:G$42,Inputs!$A$4:$A$42,'F_Input Override'!$A20))</f>
        <v>0</v>
      </c>
      <c r="J20" s="26">
        <f>IF($L20="Y",SUMIFS(Reallocations!I$5:I$13,Reallocations!$A$5:$A$13,'F_Input Override'!$A20),SUMIFS(Inputs!H$4:H$42,Inputs!$A$4:$A$42,'F_Input Override'!$A20))</f>
        <v>0</v>
      </c>
      <c r="K20" s="24">
        <f t="shared" si="1"/>
        <v>0</v>
      </c>
      <c r="L20" s="134" t="str">
        <f>IF(SUMIFS(Reallocations!$J$5:$J$14,Reallocations!$A$5:$A$14,'F_Input Override'!A20)&gt;0,"Y","N")</f>
        <v>N</v>
      </c>
    </row>
    <row r="21" spans="1:19" s="1" customFormat="1" ht="13.15">
      <c r="A21"/>
      <c r="D21" s="71"/>
      <c r="E21" s="71"/>
      <c r="F21" s="72"/>
      <c r="G21" s="72"/>
      <c r="H21" s="72"/>
      <c r="I21" s="72"/>
      <c r="J21" s="72"/>
      <c r="K21" s="42"/>
      <c r="L21" s="154"/>
    </row>
    <row r="22" spans="1:19" ht="13.15">
      <c r="A22" s="41" t="s">
        <v>169</v>
      </c>
      <c r="L22" s="43"/>
    </row>
    <row r="23" spans="1:19" ht="13.15">
      <c r="A23" s="19" t="s">
        <v>79</v>
      </c>
      <c r="B23" s="19" t="s">
        <v>80</v>
      </c>
      <c r="C23" s="19" t="s">
        <v>81</v>
      </c>
      <c r="D23" s="19" t="s">
        <v>82</v>
      </c>
      <c r="E23" s="19" t="s">
        <v>83</v>
      </c>
      <c r="F23" s="19" t="s">
        <v>84</v>
      </c>
      <c r="G23" s="19" t="s">
        <v>85</v>
      </c>
      <c r="H23" s="19" t="s">
        <v>86</v>
      </c>
      <c r="I23" s="19" t="s">
        <v>87</v>
      </c>
      <c r="J23" s="19" t="s">
        <v>88</v>
      </c>
      <c r="K23" s="19" t="s">
        <v>89</v>
      </c>
      <c r="L23" s="164" t="s">
        <v>167</v>
      </c>
      <c r="M23" s="167" t="s">
        <v>170</v>
      </c>
      <c r="O23" s="42"/>
      <c r="P23" s="166"/>
      <c r="Q23" s="166"/>
      <c r="R23" s="166"/>
      <c r="S23" s="166"/>
    </row>
    <row r="24" spans="1:19" ht="13.15">
      <c r="A24" s="16" t="s">
        <v>57</v>
      </c>
      <c r="B24" s="16" t="s">
        <v>168</v>
      </c>
      <c r="C24" s="16" t="s">
        <v>162</v>
      </c>
      <c r="D24" s="20" t="s">
        <v>60</v>
      </c>
      <c r="E24" s="16" t="s">
        <v>54</v>
      </c>
      <c r="F24" s="24">
        <f>F4-Other_Inputs!D4+'F_Input Override'!F46</f>
        <v>169.29420000000002</v>
      </c>
      <c r="G24" s="24">
        <f>G4-Other_Inputs!E4+'F_Input Override'!G46</f>
        <v>170.90800000000002</v>
      </c>
      <c r="H24" s="24">
        <f>H4-Other_Inputs!F4+'F_Input Override'!H46</f>
        <v>203.59710000000001</v>
      </c>
      <c r="I24" s="24">
        <f>I4-Other_Inputs!G4+'F_Input Override'!I46</f>
        <v>151.65950000000004</v>
      </c>
      <c r="J24" s="24">
        <f>J4-Other_Inputs!H4+'F_Input Override'!J46</f>
        <v>50.685200000000002</v>
      </c>
      <c r="K24" s="24">
        <f>SUM(F24:J24)</f>
        <v>746.14400000000012</v>
      </c>
      <c r="L24" s="127" t="str">
        <f>IF(SUMIFS(Reallocations!$J$5:$J$14,Reallocations!$A$5:$A$14,'F_Input Override'!A24)&gt;0,"Y","N")</f>
        <v>Y</v>
      </c>
      <c r="M24" s="168" t="s">
        <v>171</v>
      </c>
      <c r="N24" s="8"/>
    </row>
    <row r="25" spans="1:19" ht="13.15">
      <c r="A25" s="16" t="s">
        <v>61</v>
      </c>
      <c r="B25" s="16" t="s">
        <v>168</v>
      </c>
      <c r="C25" s="16" t="s">
        <v>162</v>
      </c>
      <c r="D25" s="20" t="s">
        <v>60</v>
      </c>
      <c r="E25" s="16" t="s">
        <v>54</v>
      </c>
      <c r="F25" s="24"/>
      <c r="G25" s="24"/>
      <c r="H25" s="24"/>
      <c r="I25" s="24"/>
      <c r="J25" s="24"/>
      <c r="K25" s="24"/>
      <c r="L25" s="127"/>
      <c r="M25" s="149"/>
    </row>
    <row r="26" spans="1:19" ht="13.15">
      <c r="A26" s="16" t="s">
        <v>62</v>
      </c>
      <c r="B26" s="16" t="s">
        <v>168</v>
      </c>
      <c r="C26" s="16" t="s">
        <v>162</v>
      </c>
      <c r="D26" s="20" t="s">
        <v>60</v>
      </c>
      <c r="E26" s="16" t="s">
        <v>54</v>
      </c>
      <c r="F26" s="24"/>
      <c r="G26" s="24"/>
      <c r="H26" s="24"/>
      <c r="I26" s="24"/>
      <c r="J26" s="24"/>
      <c r="K26" s="24"/>
      <c r="L26" s="127"/>
      <c r="M26" s="149"/>
    </row>
    <row r="27" spans="1:19" ht="13.15">
      <c r="A27" s="16" t="s">
        <v>63</v>
      </c>
      <c r="B27" s="16" t="s">
        <v>168</v>
      </c>
      <c r="C27" s="16" t="s">
        <v>162</v>
      </c>
      <c r="D27" s="20" t="s">
        <v>60</v>
      </c>
      <c r="E27" s="16" t="s">
        <v>54</v>
      </c>
      <c r="G27" s="24"/>
      <c r="H27" s="24"/>
      <c r="I27" s="24"/>
      <c r="J27" s="24"/>
      <c r="K27" s="24"/>
      <c r="L27" s="127"/>
      <c r="M27" s="149"/>
    </row>
    <row r="28" spans="1:19" ht="13.15">
      <c r="A28" s="16" t="s">
        <v>64</v>
      </c>
      <c r="B28" s="16" t="s">
        <v>168</v>
      </c>
      <c r="C28" s="16" t="s">
        <v>162</v>
      </c>
      <c r="D28" s="20" t="s">
        <v>60</v>
      </c>
      <c r="E28" s="16" t="s">
        <v>54</v>
      </c>
      <c r="F28" s="24"/>
      <c r="G28" s="24"/>
      <c r="H28" s="24"/>
      <c r="I28" s="24"/>
      <c r="J28" s="24"/>
      <c r="K28" s="24"/>
      <c r="L28" s="127"/>
      <c r="M28" s="149"/>
    </row>
    <row r="29" spans="1:19" ht="13.15">
      <c r="A29" s="16" t="s">
        <v>65</v>
      </c>
      <c r="B29" s="16" t="s">
        <v>168</v>
      </c>
      <c r="C29" s="16" t="s">
        <v>162</v>
      </c>
      <c r="D29" s="20" t="s">
        <v>60</v>
      </c>
      <c r="E29" s="16" t="s">
        <v>54</v>
      </c>
      <c r="F29" s="24"/>
      <c r="G29" s="24"/>
      <c r="H29" s="24"/>
      <c r="I29" s="24"/>
      <c r="J29" s="24"/>
      <c r="K29" s="24"/>
      <c r="L29" s="127"/>
      <c r="M29" s="149"/>
    </row>
    <row r="30" spans="1:19" ht="13.15">
      <c r="A30" s="16" t="s">
        <v>66</v>
      </c>
      <c r="B30" s="16" t="s">
        <v>168</v>
      </c>
      <c r="C30" s="16" t="s">
        <v>162</v>
      </c>
      <c r="D30" s="20" t="s">
        <v>60</v>
      </c>
      <c r="E30" s="16" t="s">
        <v>54</v>
      </c>
      <c r="F30" s="24"/>
      <c r="G30" s="24"/>
      <c r="H30" s="24"/>
      <c r="I30" s="24"/>
      <c r="J30" s="24"/>
      <c r="K30" s="24"/>
      <c r="L30" s="127"/>
      <c r="M30" s="149"/>
    </row>
    <row r="31" spans="1:19" ht="13.15">
      <c r="A31" s="16" t="s">
        <v>67</v>
      </c>
      <c r="B31" s="16" t="s">
        <v>168</v>
      </c>
      <c r="C31" s="16" t="s">
        <v>162</v>
      </c>
      <c r="D31" s="20" t="s">
        <v>60</v>
      </c>
      <c r="E31" s="16" t="s">
        <v>54</v>
      </c>
      <c r="F31" s="24"/>
      <c r="G31" s="24"/>
      <c r="H31" s="24"/>
      <c r="I31" s="24"/>
      <c r="J31" s="24"/>
      <c r="K31" s="24"/>
      <c r="L31" s="127"/>
      <c r="M31" s="149"/>
    </row>
    <row r="32" spans="1:19" ht="13.15">
      <c r="A32" s="16" t="s">
        <v>68</v>
      </c>
      <c r="B32" s="16" t="s">
        <v>168</v>
      </c>
      <c r="C32" s="16" t="s">
        <v>162</v>
      </c>
      <c r="D32" s="20" t="s">
        <v>60</v>
      </c>
      <c r="E32" s="16" t="s">
        <v>54</v>
      </c>
      <c r="F32" s="24"/>
      <c r="G32" s="24"/>
      <c r="H32" s="24"/>
      <c r="I32" s="24"/>
      <c r="J32" s="24"/>
      <c r="K32" s="24"/>
      <c r="L32" s="127"/>
      <c r="M32" s="149"/>
    </row>
    <row r="33" spans="1:13" ht="13.15">
      <c r="A33" s="16" t="s">
        <v>69</v>
      </c>
      <c r="B33" s="16" t="s">
        <v>168</v>
      </c>
      <c r="C33" s="16" t="s">
        <v>162</v>
      </c>
      <c r="D33" s="20" t="s">
        <v>60</v>
      </c>
      <c r="E33" s="16" t="s">
        <v>54</v>
      </c>
      <c r="F33" s="24"/>
      <c r="G33" s="24"/>
      <c r="H33" s="24"/>
      <c r="I33" s="24"/>
      <c r="J33" s="24"/>
      <c r="K33" s="24"/>
      <c r="L33" s="127"/>
      <c r="M33" s="149"/>
    </row>
    <row r="34" spans="1:13" ht="13.15">
      <c r="A34" s="16" t="s">
        <v>70</v>
      </c>
      <c r="B34" s="16" t="s">
        <v>168</v>
      </c>
      <c r="C34" s="16" t="s">
        <v>162</v>
      </c>
      <c r="D34" s="20" t="s">
        <v>60</v>
      </c>
      <c r="E34" s="16" t="s">
        <v>54</v>
      </c>
      <c r="F34" s="24"/>
      <c r="G34" s="24"/>
      <c r="H34" s="24"/>
      <c r="I34" s="24"/>
      <c r="J34" s="24"/>
      <c r="K34" s="24"/>
      <c r="L34" s="127"/>
      <c r="M34" s="149"/>
    </row>
    <row r="35" spans="1:13" ht="13.15">
      <c r="A35" s="16" t="s">
        <v>71</v>
      </c>
      <c r="B35" s="16" t="s">
        <v>168</v>
      </c>
      <c r="C35" s="16" t="s">
        <v>162</v>
      </c>
      <c r="D35" s="20" t="s">
        <v>60</v>
      </c>
      <c r="E35" s="16" t="s">
        <v>54</v>
      </c>
      <c r="F35" s="24"/>
      <c r="G35" s="24"/>
      <c r="H35" s="24"/>
      <c r="I35" s="24"/>
      <c r="J35" s="24"/>
      <c r="K35" s="24"/>
      <c r="L35" s="127"/>
      <c r="M35" s="149"/>
    </row>
    <row r="36" spans="1:13" ht="13.15">
      <c r="A36" s="16" t="s">
        <v>72</v>
      </c>
      <c r="B36" s="16" t="s">
        <v>168</v>
      </c>
      <c r="C36" s="16" t="s">
        <v>162</v>
      </c>
      <c r="D36" s="20" t="s">
        <v>60</v>
      </c>
      <c r="E36" s="16" t="s">
        <v>54</v>
      </c>
      <c r="F36" s="24"/>
      <c r="G36" s="24"/>
      <c r="H36" s="24"/>
      <c r="I36" s="24"/>
      <c r="J36" s="24"/>
      <c r="K36" s="24"/>
      <c r="L36" s="127"/>
      <c r="M36" s="149"/>
    </row>
    <row r="37" spans="1:13" ht="13.15">
      <c r="A37" s="16" t="s">
        <v>73</v>
      </c>
      <c r="B37" s="16" t="s">
        <v>168</v>
      </c>
      <c r="C37" s="16" t="s">
        <v>162</v>
      </c>
      <c r="D37" s="20" t="s">
        <v>60</v>
      </c>
      <c r="E37" s="16" t="s">
        <v>54</v>
      </c>
      <c r="F37" s="24"/>
      <c r="G37" s="24"/>
      <c r="H37" s="24"/>
      <c r="I37" s="24"/>
      <c r="J37" s="24"/>
      <c r="K37" s="24"/>
      <c r="L37" s="127"/>
      <c r="M37" s="149"/>
    </row>
    <row r="38" spans="1:13" ht="13.15">
      <c r="A38" s="16" t="s">
        <v>74</v>
      </c>
      <c r="B38" s="16" t="s">
        <v>168</v>
      </c>
      <c r="C38" s="16" t="s">
        <v>162</v>
      </c>
      <c r="D38" s="20" t="s">
        <v>60</v>
      </c>
      <c r="E38" s="16" t="s">
        <v>54</v>
      </c>
      <c r="F38" s="24"/>
      <c r="G38" s="24"/>
      <c r="H38" s="24"/>
      <c r="I38" s="24"/>
      <c r="J38" s="24"/>
      <c r="K38" s="24"/>
      <c r="L38" s="127"/>
      <c r="M38" s="149"/>
    </row>
    <row r="39" spans="1:13" ht="13.15">
      <c r="A39" s="16" t="s">
        <v>75</v>
      </c>
      <c r="B39" s="16" t="s">
        <v>168</v>
      </c>
      <c r="C39" s="16" t="s">
        <v>162</v>
      </c>
      <c r="D39" s="20" t="s">
        <v>60</v>
      </c>
      <c r="E39" s="16" t="s">
        <v>54</v>
      </c>
      <c r="F39" s="24"/>
      <c r="G39" s="24"/>
      <c r="H39" s="24"/>
      <c r="I39" s="24"/>
      <c r="J39" s="24"/>
      <c r="K39" s="24"/>
      <c r="L39" s="127"/>
      <c r="M39" s="149"/>
    </row>
    <row r="40" spans="1:13" ht="13.15">
      <c r="A40" s="16" t="s">
        <v>76</v>
      </c>
      <c r="B40" s="16" t="s">
        <v>168</v>
      </c>
      <c r="C40" s="16" t="s">
        <v>162</v>
      </c>
      <c r="D40" s="20" t="s">
        <v>60</v>
      </c>
      <c r="E40" s="16" t="s">
        <v>54</v>
      </c>
      <c r="F40" s="24"/>
      <c r="G40" s="24"/>
      <c r="H40" s="24"/>
      <c r="I40" s="24"/>
      <c r="J40" s="24"/>
      <c r="K40" s="24"/>
      <c r="L40" s="127"/>
      <c r="M40" s="149"/>
    </row>
    <row r="41" spans="1:13" ht="13.15">
      <c r="A41" s="115"/>
      <c r="F41" s="8"/>
      <c r="G41" s="8"/>
      <c r="H41" s="8"/>
      <c r="I41" s="8"/>
      <c r="J41" s="8"/>
      <c r="K41" s="8"/>
      <c r="L41" s="8"/>
    </row>
    <row r="42" spans="1:13">
      <c r="F42" s="8"/>
      <c r="G42" s="8"/>
      <c r="H42" s="8"/>
      <c r="I42" s="8"/>
      <c r="J42" s="8"/>
      <c r="K42" s="8"/>
      <c r="L42" s="8"/>
    </row>
    <row r="45" spans="1:13" ht="13.15">
      <c r="A45" s="163" t="s">
        <v>92</v>
      </c>
      <c r="B45" s="19" t="s">
        <v>80</v>
      </c>
      <c r="C45" s="163" t="s">
        <v>93</v>
      </c>
      <c r="D45" s="163" t="s">
        <v>82</v>
      </c>
      <c r="E45" s="19" t="s">
        <v>83</v>
      </c>
      <c r="F45" s="163" t="s">
        <v>94</v>
      </c>
      <c r="G45" s="163" t="s">
        <v>95</v>
      </c>
      <c r="H45" s="163" t="s">
        <v>96</v>
      </c>
      <c r="I45" s="163" t="s">
        <v>97</v>
      </c>
      <c r="J45" s="163" t="s">
        <v>98</v>
      </c>
      <c r="K45" s="163" t="s">
        <v>89</v>
      </c>
      <c r="L45" s="163" t="s">
        <v>100</v>
      </c>
    </row>
    <row r="46" spans="1:13" ht="13.15">
      <c r="A46" s="159" t="s">
        <v>57</v>
      </c>
      <c r="B46" s="16" t="s">
        <v>172</v>
      </c>
      <c r="C46" s="159" t="s">
        <v>149</v>
      </c>
      <c r="D46" s="160" t="s">
        <v>60</v>
      </c>
      <c r="E46" s="16" t="s">
        <v>54</v>
      </c>
      <c r="F46" s="161">
        <v>1.544</v>
      </c>
      <c r="G46" s="161">
        <v>3.7519999999999998</v>
      </c>
      <c r="H46" s="161">
        <v>8.8320000000000007</v>
      </c>
      <c r="I46" s="161">
        <v>9.5679999999999996</v>
      </c>
      <c r="J46" s="161">
        <v>8.8320000000000007</v>
      </c>
      <c r="K46" s="162">
        <f>SUM(F46:J46)</f>
        <v>32.527999999999999</v>
      </c>
      <c r="L46" s="212" t="s">
        <v>112</v>
      </c>
    </row>
    <row r="47" spans="1:13">
      <c r="F47" s="8"/>
      <c r="G47" s="8"/>
      <c r="H47" s="8"/>
      <c r="I47" s="8"/>
      <c r="J47" s="8"/>
      <c r="K47" s="8"/>
    </row>
    <row r="48" spans="1:13">
      <c r="F48" s="8"/>
      <c r="G48" s="8"/>
      <c r="H48" s="8"/>
      <c r="I48" s="8"/>
      <c r="J48" s="8"/>
      <c r="K48" s="8"/>
    </row>
    <row r="49" spans="6:11">
      <c r="F49" s="8"/>
      <c r="G49" s="8"/>
      <c r="H49" s="8"/>
      <c r="I49" s="8"/>
      <c r="J49" s="8"/>
      <c r="K49" s="8"/>
    </row>
    <row r="50" spans="6:11">
      <c r="F50" s="8"/>
      <c r="G50" s="8"/>
      <c r="H50" s="8"/>
      <c r="I50" s="8"/>
      <c r="J50" s="8"/>
      <c r="K50" s="8"/>
    </row>
    <row r="51" spans="6:11">
      <c r="F51" s="8"/>
      <c r="G51" s="8"/>
      <c r="H51" s="8"/>
      <c r="I51" s="8"/>
      <c r="J51" s="8"/>
      <c r="K51" s="8"/>
    </row>
    <row r="52" spans="6:11">
      <c r="F52" s="8"/>
      <c r="G52" s="8"/>
      <c r="H52" s="8"/>
      <c r="I52" s="8"/>
      <c r="J52" s="8"/>
      <c r="K52" s="8"/>
    </row>
    <row r="53" spans="6:11">
      <c r="F53" s="8"/>
      <c r="G53" s="8"/>
      <c r="H53" s="8"/>
      <c r="I53" s="8"/>
      <c r="J53" s="8"/>
      <c r="K53" s="8"/>
    </row>
    <row r="54" spans="6:11">
      <c r="F54" s="8"/>
      <c r="G54" s="8"/>
      <c r="H54" s="8"/>
      <c r="I54" s="8"/>
      <c r="J54" s="8"/>
      <c r="K54" s="8"/>
    </row>
  </sheetData>
  <phoneticPr fontId="44"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88B16F-C788-49B1-BD0F-2B98AA76A504}">
  <sheetPr codeName="Sheet13">
    <tabColor rgb="FFFFDB8E"/>
  </sheetPr>
  <dimension ref="A1:AN30"/>
  <sheetViews>
    <sheetView zoomScale="80" zoomScaleNormal="80" workbookViewId="0"/>
  </sheetViews>
  <sheetFormatPr defaultRowHeight="12.75"/>
  <cols>
    <col min="1" max="1" width="10.28515625" customWidth="1"/>
    <col min="2" max="2" width="10.5703125" bestFit="1" customWidth="1"/>
    <col min="3" max="3" width="39.85546875" bestFit="1" customWidth="1"/>
    <col min="4" max="4" width="4.5703125" bestFit="1" customWidth="1"/>
    <col min="5" max="5" width="18" customWidth="1"/>
  </cols>
  <sheetData>
    <row r="1" spans="1:40" s="209" customFormat="1" ht="32.85" customHeight="1">
      <c r="A1" s="210" t="e">
        <f ca="1" xml:space="preserve"> RIGHT(CELL("filename", A1), LEN(CELL("filename", A1)) - SEARCH("]", CELL("filename", A1)))</f>
        <v>#VALUE!</v>
      </c>
      <c r="B1" s="210"/>
      <c r="C1" s="210"/>
      <c r="D1" s="210"/>
      <c r="E1" s="210"/>
      <c r="F1" s="210"/>
      <c r="G1" s="210"/>
      <c r="H1" s="210"/>
      <c r="I1" s="210"/>
      <c r="J1" s="210"/>
      <c r="K1" s="210"/>
      <c r="L1" s="210"/>
      <c r="M1" s="210"/>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row>
    <row r="3" spans="1:40" ht="13.15">
      <c r="A3" s="19" t="str">
        <f>'F_Input Override'!A3</f>
        <v>Acronym</v>
      </c>
      <c r="B3" s="19" t="str">
        <f>'F_Input Override'!B3</f>
        <v>Reference</v>
      </c>
      <c r="C3" s="19" t="str">
        <f>'F_Input Override'!C3</f>
        <v>Item description</v>
      </c>
      <c r="D3" s="19" t="str">
        <f>'F_Input Override'!D3</f>
        <v>Unit</v>
      </c>
      <c r="E3" s="19" t="str">
        <f>'F_Input Override'!E3</f>
        <v>Model</v>
      </c>
      <c r="F3" s="19" t="str">
        <f>'F_Input Override'!F3</f>
        <v>2025-26</v>
      </c>
      <c r="G3" s="19" t="str">
        <f>'F_Input Override'!G3</f>
        <v>2026-27</v>
      </c>
      <c r="H3" s="19" t="str">
        <f>'F_Input Override'!H3</f>
        <v>2027-28</v>
      </c>
      <c r="I3" s="19" t="str">
        <f>'F_Input Override'!I3</f>
        <v>2028-29</v>
      </c>
      <c r="J3" s="19" t="str">
        <f>'F_Input Override'!J3</f>
        <v>2029-30</v>
      </c>
      <c r="K3" s="19" t="s">
        <v>89</v>
      </c>
    </row>
    <row r="4" spans="1:40" ht="13.15">
      <c r="A4" s="16" t="s">
        <v>57</v>
      </c>
      <c r="B4" s="16" t="s">
        <v>168</v>
      </c>
      <c r="C4" s="16" t="s">
        <v>162</v>
      </c>
      <c r="D4" s="20" t="s">
        <v>60</v>
      </c>
      <c r="E4" s="16" t="s">
        <v>54</v>
      </c>
      <c r="F4" s="24">
        <f>IF('F_Input Override'!F24="",'F_Input Override'!F4,'F_Input Override'!F24)</f>
        <v>169.29420000000002</v>
      </c>
      <c r="G4" s="24">
        <f>IF('F_Input Override'!G24="",'F_Input Override'!G4,'F_Input Override'!G24)</f>
        <v>170.90800000000002</v>
      </c>
      <c r="H4" s="24">
        <f>IF('F_Input Override'!H24="",'F_Input Override'!H4,'F_Input Override'!H24)</f>
        <v>203.59710000000001</v>
      </c>
      <c r="I4" s="24">
        <f>IF('F_Input Override'!I24="",'F_Input Override'!I4,'F_Input Override'!I24)</f>
        <v>151.65950000000004</v>
      </c>
      <c r="J4" s="24">
        <f>IF('F_Input Override'!J24="",'F_Input Override'!J4,'F_Input Override'!J24)</f>
        <v>50.685200000000002</v>
      </c>
      <c r="K4" s="24">
        <f>SUM(F4:J4)</f>
        <v>746.14400000000012</v>
      </c>
      <c r="Q4" s="29"/>
      <c r="R4" s="29"/>
      <c r="S4" s="29"/>
      <c r="T4" s="29"/>
      <c r="U4" s="29"/>
      <c r="V4" s="29"/>
    </row>
    <row r="5" spans="1:40" ht="13.15">
      <c r="A5" s="16" t="s">
        <v>61</v>
      </c>
      <c r="B5" s="16" t="s">
        <v>168</v>
      </c>
      <c r="C5" s="16" t="s">
        <v>162</v>
      </c>
      <c r="D5" s="20" t="s">
        <v>60</v>
      </c>
      <c r="E5" s="16" t="s">
        <v>54</v>
      </c>
      <c r="F5" s="24">
        <f>IF('F_Input Override'!F25="",'F_Input Override'!F5,'F_Input Override'!F25)</f>
        <v>0</v>
      </c>
      <c r="G5" s="24">
        <f>IF('F_Input Override'!G25="",'F_Input Override'!G5,'F_Input Override'!G25)</f>
        <v>0</v>
      </c>
      <c r="H5" s="24">
        <f>IF('F_Input Override'!H25="",'F_Input Override'!H5,'F_Input Override'!H25)</f>
        <v>0</v>
      </c>
      <c r="I5" s="24">
        <f>IF('F_Input Override'!I25="",'F_Input Override'!I5,'F_Input Override'!I25)</f>
        <v>0</v>
      </c>
      <c r="J5" s="24">
        <f>IF('F_Input Override'!J25="",'F_Input Override'!J5,'F_Input Override'!J25)</f>
        <v>0</v>
      </c>
      <c r="K5" s="24">
        <f t="shared" ref="K5:K19" si="0">SUM(F5:J5)</f>
        <v>0</v>
      </c>
      <c r="Q5" s="29"/>
      <c r="R5" s="29"/>
      <c r="S5" s="29"/>
      <c r="T5" s="29"/>
      <c r="U5" s="29"/>
      <c r="V5" s="29"/>
    </row>
    <row r="6" spans="1:40" ht="13.15">
      <c r="A6" s="16" t="s">
        <v>62</v>
      </c>
      <c r="B6" s="16" t="s">
        <v>168</v>
      </c>
      <c r="C6" s="16" t="s">
        <v>162</v>
      </c>
      <c r="D6" s="20" t="s">
        <v>60</v>
      </c>
      <c r="E6" s="16" t="s">
        <v>54</v>
      </c>
      <c r="F6" s="24">
        <f>IF('F_Input Override'!F26="",'F_Input Override'!F6,'F_Input Override'!F26)</f>
        <v>0</v>
      </c>
      <c r="G6" s="24">
        <f>IF('F_Input Override'!G26="",'F_Input Override'!G6,'F_Input Override'!G26)</f>
        <v>0</v>
      </c>
      <c r="H6" s="24">
        <f>IF('F_Input Override'!H26="",'F_Input Override'!H6,'F_Input Override'!H26)</f>
        <v>0</v>
      </c>
      <c r="I6" s="24">
        <f>IF('F_Input Override'!I26="",'F_Input Override'!I6,'F_Input Override'!I26)</f>
        <v>0</v>
      </c>
      <c r="J6" s="24">
        <f>IF('F_Input Override'!J26="",'F_Input Override'!J6,'F_Input Override'!J26)</f>
        <v>0</v>
      </c>
      <c r="K6" s="24">
        <f t="shared" si="0"/>
        <v>0</v>
      </c>
      <c r="Q6" s="29"/>
      <c r="R6" s="29"/>
      <c r="S6" s="29"/>
      <c r="T6" s="29"/>
      <c r="U6" s="29"/>
      <c r="V6" s="29"/>
    </row>
    <row r="7" spans="1:40" ht="13.15">
      <c r="A7" s="16" t="s">
        <v>63</v>
      </c>
      <c r="B7" s="16" t="s">
        <v>168</v>
      </c>
      <c r="C7" s="16" t="s">
        <v>162</v>
      </c>
      <c r="D7" s="20" t="s">
        <v>60</v>
      </c>
      <c r="E7" s="16" t="s">
        <v>54</v>
      </c>
      <c r="F7" s="24">
        <f>IF('F_Input Override'!F27="",'F_Input Override'!F7,'F_Input Override'!F27)</f>
        <v>0.56999999999999995</v>
      </c>
      <c r="G7" s="24">
        <f>IF('F_Input Override'!G27="",'F_Input Override'!G7,'F_Input Override'!G27)</f>
        <v>5.9859999999999998</v>
      </c>
      <c r="H7" s="24">
        <f>IF('F_Input Override'!H27="",'F_Input Override'!H7,'F_Input Override'!H27)</f>
        <v>0.47</v>
      </c>
      <c r="I7" s="24">
        <f>IF('F_Input Override'!I27="",'F_Input Override'!I7,'F_Input Override'!I27)</f>
        <v>0.51</v>
      </c>
      <c r="J7" s="24">
        <f>IF('F_Input Override'!J27="",'F_Input Override'!J7,'F_Input Override'!J27)</f>
        <v>0.59</v>
      </c>
      <c r="K7" s="24">
        <f t="shared" si="0"/>
        <v>8.1259999999999994</v>
      </c>
      <c r="Q7" s="29"/>
      <c r="R7" s="29"/>
      <c r="S7" s="29"/>
      <c r="T7" s="29"/>
      <c r="U7" s="29"/>
      <c r="V7" s="29"/>
    </row>
    <row r="8" spans="1:40" ht="13.15">
      <c r="A8" s="16" t="s">
        <v>64</v>
      </c>
      <c r="B8" s="16" t="s">
        <v>168</v>
      </c>
      <c r="C8" s="16" t="s">
        <v>162</v>
      </c>
      <c r="D8" s="20" t="s">
        <v>60</v>
      </c>
      <c r="E8" s="16" t="s">
        <v>54</v>
      </c>
      <c r="F8" s="24">
        <f>IF('F_Input Override'!F28="",'F_Input Override'!F8,'F_Input Override'!F28)</f>
        <v>12.355999999999998</v>
      </c>
      <c r="G8" s="24">
        <f>IF('F_Input Override'!G28="",'F_Input Override'!G8,'F_Input Override'!G28)</f>
        <v>16.242999999999999</v>
      </c>
      <c r="H8" s="24">
        <f>IF('F_Input Override'!H28="",'F_Input Override'!H8,'F_Input Override'!H28)</f>
        <v>8.2809999999999988</v>
      </c>
      <c r="I8" s="24">
        <f>IF('F_Input Override'!I28="",'F_Input Override'!I8,'F_Input Override'!I28)</f>
        <v>5.7089999999999996</v>
      </c>
      <c r="J8" s="24">
        <f>IF('F_Input Override'!J28="",'F_Input Override'!J8,'F_Input Override'!J28)</f>
        <v>3.367</v>
      </c>
      <c r="K8" s="24">
        <f t="shared" si="0"/>
        <v>45.955999999999996</v>
      </c>
      <c r="Q8" s="29"/>
      <c r="R8" s="29"/>
      <c r="S8" s="29"/>
      <c r="T8" s="29"/>
      <c r="U8" s="29"/>
      <c r="V8" s="29"/>
    </row>
    <row r="9" spans="1:40" ht="13.15">
      <c r="A9" s="16" t="s">
        <v>65</v>
      </c>
      <c r="B9" s="16" t="s">
        <v>168</v>
      </c>
      <c r="C9" s="16" t="s">
        <v>162</v>
      </c>
      <c r="D9" s="20" t="s">
        <v>60</v>
      </c>
      <c r="E9" s="16" t="s">
        <v>54</v>
      </c>
      <c r="F9" s="24">
        <f>IF('F_Input Override'!F29="",'F_Input Override'!F9,'F_Input Override'!F29)</f>
        <v>13.3316</v>
      </c>
      <c r="G9" s="24">
        <f>IF('F_Input Override'!G29="",'F_Input Override'!G9,'F_Input Override'!G29)</f>
        <v>13.2376</v>
      </c>
      <c r="H9" s="24">
        <f>IF('F_Input Override'!H29="",'F_Input Override'!H9,'F_Input Override'!H29)</f>
        <v>14.566599999999999</v>
      </c>
      <c r="I9" s="24">
        <f>IF('F_Input Override'!I29="",'F_Input Override'!I9,'F_Input Override'!I29)</f>
        <v>16.869599999999998</v>
      </c>
      <c r="J9" s="24">
        <f>IF('F_Input Override'!J29="",'F_Input Override'!J9,'F_Input Override'!J29)</f>
        <v>12.8886</v>
      </c>
      <c r="K9" s="24">
        <f t="shared" si="0"/>
        <v>70.894000000000005</v>
      </c>
      <c r="Q9" s="29"/>
      <c r="R9" s="29"/>
      <c r="S9" s="29"/>
      <c r="T9" s="29"/>
      <c r="U9" s="29"/>
      <c r="V9" s="29"/>
    </row>
    <row r="10" spans="1:40" ht="13.15">
      <c r="A10" s="16" t="s">
        <v>66</v>
      </c>
      <c r="B10" s="16" t="s">
        <v>168</v>
      </c>
      <c r="C10" s="16" t="s">
        <v>162</v>
      </c>
      <c r="D10" s="20" t="s">
        <v>60</v>
      </c>
      <c r="E10" s="16" t="s">
        <v>54</v>
      </c>
      <c r="F10" s="24">
        <f>IF('F_Input Override'!F30="",'F_Input Override'!F10,'F_Input Override'!F30)</f>
        <v>93.056000000000012</v>
      </c>
      <c r="G10" s="24">
        <f>IF('F_Input Override'!G30="",'F_Input Override'!G10,'F_Input Override'!G30)</f>
        <v>89.454000000000008</v>
      </c>
      <c r="H10" s="24">
        <f>IF('F_Input Override'!H30="",'F_Input Override'!H10,'F_Input Override'!H30)</f>
        <v>85.296999999999997</v>
      </c>
      <c r="I10" s="24">
        <f>IF('F_Input Override'!I30="",'F_Input Override'!I10,'F_Input Override'!I30)</f>
        <v>45.665999999999997</v>
      </c>
      <c r="J10" s="24">
        <f>IF('F_Input Override'!J30="",'F_Input Override'!J10,'F_Input Override'!J30)</f>
        <v>38.700000000000003</v>
      </c>
      <c r="K10" s="24">
        <f t="shared" si="0"/>
        <v>352.173</v>
      </c>
      <c r="Q10" s="29"/>
      <c r="R10" s="29"/>
      <c r="S10" s="29"/>
      <c r="T10" s="29"/>
      <c r="U10" s="29"/>
      <c r="V10" s="29"/>
    </row>
    <row r="11" spans="1:40" ht="13.15">
      <c r="A11" s="16" t="s">
        <v>67</v>
      </c>
      <c r="B11" s="16" t="s">
        <v>168</v>
      </c>
      <c r="C11" s="16" t="s">
        <v>162</v>
      </c>
      <c r="D11" s="20" t="s">
        <v>60</v>
      </c>
      <c r="E11" s="16" t="s">
        <v>54</v>
      </c>
      <c r="F11" s="24">
        <f>IF('F_Input Override'!F31="",'F_Input Override'!F11,'F_Input Override'!F31)</f>
        <v>80.763448211687461</v>
      </c>
      <c r="G11" s="24">
        <f>IF('F_Input Override'!G31="",'F_Input Override'!G11,'F_Input Override'!G31)</f>
        <v>83.791205912541017</v>
      </c>
      <c r="H11" s="24">
        <f>IF('F_Input Override'!H31="",'F_Input Override'!H11,'F_Input Override'!H31)</f>
        <v>92.430999999999997</v>
      </c>
      <c r="I11" s="24">
        <f>IF('F_Input Override'!I31="",'F_Input Override'!I11,'F_Input Override'!I31)</f>
        <v>130.10900000000001</v>
      </c>
      <c r="J11" s="24">
        <f>IF('F_Input Override'!J31="",'F_Input Override'!J11,'F_Input Override'!J31)</f>
        <v>469.16899999999998</v>
      </c>
      <c r="K11" s="24">
        <f t="shared" si="0"/>
        <v>856.26365412422842</v>
      </c>
      <c r="Q11" s="29"/>
      <c r="R11" s="29"/>
      <c r="S11" s="29"/>
      <c r="T11" s="29"/>
      <c r="U11" s="29"/>
      <c r="V11" s="29"/>
    </row>
    <row r="12" spans="1:40" ht="13.15">
      <c r="A12" s="16" t="s">
        <v>68</v>
      </c>
      <c r="B12" s="16" t="s">
        <v>168</v>
      </c>
      <c r="C12" s="16" t="s">
        <v>162</v>
      </c>
      <c r="D12" s="20" t="s">
        <v>60</v>
      </c>
      <c r="E12" s="16" t="s">
        <v>54</v>
      </c>
      <c r="F12" s="24">
        <f>IF('F_Input Override'!F32="",'F_Input Override'!F12,'F_Input Override'!F32)</f>
        <v>9.5784231660000003</v>
      </c>
      <c r="G12" s="24">
        <f>IF('F_Input Override'!G32="",'F_Input Override'!G12,'F_Input Override'!G32)</f>
        <v>8.4981134735000001</v>
      </c>
      <c r="H12" s="24">
        <f>IF('F_Input Override'!H32="",'F_Input Override'!H12,'F_Input Override'!H32)</f>
        <v>7.5708726617900002</v>
      </c>
      <c r="I12" s="24">
        <f>IF('F_Input Override'!I32="",'F_Input Override'!I12,'F_Input Override'!I32)</f>
        <v>7.087231251505</v>
      </c>
      <c r="J12" s="24">
        <f>IF('F_Input Override'!J32="",'F_Input Override'!J12,'F_Input Override'!J32)</f>
        <v>8.5734613423030002</v>
      </c>
      <c r="K12" s="24">
        <f t="shared" si="0"/>
        <v>41.308101895097998</v>
      </c>
      <c r="Q12" s="29"/>
      <c r="R12" s="29"/>
      <c r="S12" s="29"/>
      <c r="T12" s="29"/>
      <c r="U12" s="29"/>
      <c r="V12" s="29"/>
    </row>
    <row r="13" spans="1:40" ht="13.15">
      <c r="A13" s="16" t="s">
        <v>69</v>
      </c>
      <c r="B13" s="16" t="s">
        <v>168</v>
      </c>
      <c r="C13" s="16" t="s">
        <v>162</v>
      </c>
      <c r="D13" s="20" t="s">
        <v>60</v>
      </c>
      <c r="E13" s="16" t="s">
        <v>54</v>
      </c>
      <c r="F13" s="24">
        <f>IF('F_Input Override'!F33="",'F_Input Override'!F13,'F_Input Override'!F33)</f>
        <v>12.145180000000002</v>
      </c>
      <c r="G13" s="24">
        <f>IF('F_Input Override'!G33="",'F_Input Override'!G13,'F_Input Override'!G33)</f>
        <v>10.787710000000001</v>
      </c>
      <c r="H13" s="24">
        <f>IF('F_Input Override'!H33="",'F_Input Override'!H13,'F_Input Override'!H33)</f>
        <v>17.218240000000002</v>
      </c>
      <c r="I13" s="24">
        <f>IF('F_Input Override'!I33="",'F_Input Override'!I13,'F_Input Override'!I33)</f>
        <v>17.987770000000001</v>
      </c>
      <c r="J13" s="24">
        <f>IF('F_Input Override'!J33="",'F_Input Override'!J13,'F_Input Override'!J33)</f>
        <v>14.1403</v>
      </c>
      <c r="K13" s="24">
        <f t="shared" si="0"/>
        <v>72.279200000000003</v>
      </c>
      <c r="Q13" s="29"/>
      <c r="R13" s="29"/>
      <c r="S13" s="29"/>
      <c r="T13" s="29"/>
      <c r="U13" s="29"/>
      <c r="V13" s="29"/>
    </row>
    <row r="14" spans="1:40" ht="13.15">
      <c r="A14" s="16" t="s">
        <v>70</v>
      </c>
      <c r="B14" s="16" t="s">
        <v>168</v>
      </c>
      <c r="C14" s="16" t="s">
        <v>162</v>
      </c>
      <c r="D14" s="20" t="s">
        <v>60</v>
      </c>
      <c r="E14" s="16" t="s">
        <v>54</v>
      </c>
      <c r="F14" s="24">
        <f>IF('F_Input Override'!F34="",'F_Input Override'!F14,'F_Input Override'!F34)</f>
        <v>3.5999999999999996</v>
      </c>
      <c r="G14" s="24">
        <f>IF('F_Input Override'!G34="",'F_Input Override'!G14,'F_Input Override'!G34)</f>
        <v>5.62</v>
      </c>
      <c r="H14" s="24">
        <f>IF('F_Input Override'!H34="",'F_Input Override'!H14,'F_Input Override'!H34)</f>
        <v>6.6070000000000011</v>
      </c>
      <c r="I14" s="24">
        <f>IF('F_Input Override'!I34="",'F_Input Override'!I14,'F_Input Override'!I34)</f>
        <v>9.9250000000000007</v>
      </c>
      <c r="J14" s="24">
        <f>IF('F_Input Override'!J34="",'F_Input Override'!J14,'F_Input Override'!J34)</f>
        <v>9.6800000000000015</v>
      </c>
      <c r="K14" s="24">
        <f t="shared" si="0"/>
        <v>35.432000000000002</v>
      </c>
      <c r="Q14" s="29"/>
      <c r="R14" s="29"/>
      <c r="S14" s="29"/>
      <c r="T14" s="29"/>
      <c r="U14" s="29"/>
      <c r="V14" s="29"/>
    </row>
    <row r="15" spans="1:40" ht="13.15">
      <c r="A15" s="16" t="s">
        <v>71</v>
      </c>
      <c r="B15" s="16" t="s">
        <v>168</v>
      </c>
      <c r="C15" s="16" t="s">
        <v>162</v>
      </c>
      <c r="D15" s="20" t="s">
        <v>60</v>
      </c>
      <c r="E15" s="16" t="s">
        <v>54</v>
      </c>
      <c r="F15" s="24">
        <f>IF('F_Input Override'!F35="",'F_Input Override'!F15,'F_Input Override'!F35)</f>
        <v>15.876999999999999</v>
      </c>
      <c r="G15" s="24">
        <f>IF('F_Input Override'!G35="",'F_Input Override'!G15,'F_Input Override'!G35)</f>
        <v>22.305</v>
      </c>
      <c r="H15" s="24">
        <f>IF('F_Input Override'!H35="",'F_Input Override'!H15,'F_Input Override'!H35)</f>
        <v>15.747</v>
      </c>
      <c r="I15" s="24">
        <f>IF('F_Input Override'!I35="",'F_Input Override'!I15,'F_Input Override'!I35)</f>
        <v>13.186</v>
      </c>
      <c r="J15" s="24">
        <f>IF('F_Input Override'!J35="",'F_Input Override'!J15,'F_Input Override'!J35)</f>
        <v>5.2650000000000006</v>
      </c>
      <c r="K15" s="24">
        <f t="shared" si="0"/>
        <v>72.38000000000001</v>
      </c>
      <c r="Q15" s="29"/>
      <c r="R15" s="29"/>
      <c r="S15" s="29"/>
      <c r="T15" s="29"/>
      <c r="U15" s="29"/>
      <c r="V15" s="29"/>
    </row>
    <row r="16" spans="1:40" ht="13.15">
      <c r="A16" s="16" t="s">
        <v>72</v>
      </c>
      <c r="B16" s="16" t="s">
        <v>168</v>
      </c>
      <c r="C16" s="16" t="s">
        <v>162</v>
      </c>
      <c r="D16" s="20" t="s">
        <v>60</v>
      </c>
      <c r="E16" s="16" t="s">
        <v>54</v>
      </c>
      <c r="F16" s="24">
        <f>IF('F_Input Override'!F36="",'F_Input Override'!F16,'F_Input Override'!F36)</f>
        <v>0</v>
      </c>
      <c r="G16" s="24">
        <f>IF('F_Input Override'!G36="",'F_Input Override'!G16,'F_Input Override'!G36)</f>
        <v>0</v>
      </c>
      <c r="H16" s="24">
        <f>IF('F_Input Override'!H36="",'F_Input Override'!H16,'F_Input Override'!H36)</f>
        <v>0</v>
      </c>
      <c r="I16" s="24">
        <f>IF('F_Input Override'!I36="",'F_Input Override'!I16,'F_Input Override'!I36)</f>
        <v>0</v>
      </c>
      <c r="J16" s="24">
        <f>IF('F_Input Override'!J36="",'F_Input Override'!J16,'F_Input Override'!J36)</f>
        <v>0</v>
      </c>
      <c r="K16" s="24">
        <f>SUM(F16:J16)</f>
        <v>0</v>
      </c>
      <c r="Q16" s="29"/>
      <c r="R16" s="29"/>
      <c r="S16" s="29"/>
      <c r="T16" s="29"/>
      <c r="U16" s="29"/>
      <c r="V16" s="29"/>
    </row>
    <row r="17" spans="1:22" ht="13.15">
      <c r="A17" s="16" t="s">
        <v>73</v>
      </c>
      <c r="B17" s="16" t="s">
        <v>168</v>
      </c>
      <c r="C17" s="16" t="s">
        <v>162</v>
      </c>
      <c r="D17" s="20" t="s">
        <v>60</v>
      </c>
      <c r="E17" s="16" t="s">
        <v>54</v>
      </c>
      <c r="F17" s="24">
        <f>IF('F_Input Override'!F37="",'F_Input Override'!F17,'F_Input Override'!F37)</f>
        <v>0</v>
      </c>
      <c r="G17" s="24">
        <f>IF('F_Input Override'!G37="",'F_Input Override'!G17,'F_Input Override'!G37)</f>
        <v>0</v>
      </c>
      <c r="H17" s="24">
        <f>IF('F_Input Override'!H37="",'F_Input Override'!H17,'F_Input Override'!H37)</f>
        <v>0</v>
      </c>
      <c r="I17" s="24">
        <f>IF('F_Input Override'!I37="",'F_Input Override'!I17,'F_Input Override'!I37)</f>
        <v>0</v>
      </c>
      <c r="J17" s="24">
        <f>IF('F_Input Override'!J37="",'F_Input Override'!J17,'F_Input Override'!J37)</f>
        <v>0</v>
      </c>
      <c r="K17" s="24">
        <f t="shared" si="0"/>
        <v>0</v>
      </c>
      <c r="Q17" s="29"/>
      <c r="R17" s="29"/>
      <c r="S17" s="29"/>
      <c r="T17" s="29"/>
      <c r="U17" s="29"/>
      <c r="V17" s="29"/>
    </row>
    <row r="18" spans="1:22" ht="13.15">
      <c r="A18" s="16" t="s">
        <v>74</v>
      </c>
      <c r="B18" s="16" t="s">
        <v>168</v>
      </c>
      <c r="C18" s="16" t="s">
        <v>162</v>
      </c>
      <c r="D18" s="20" t="s">
        <v>60</v>
      </c>
      <c r="E18" s="16" t="s">
        <v>54</v>
      </c>
      <c r="F18" s="24">
        <f>IF('F_Input Override'!F38="",'F_Input Override'!F18,'F_Input Override'!F38)</f>
        <v>14.289</v>
      </c>
      <c r="G18" s="24">
        <f>IF('F_Input Override'!G38="",'F_Input Override'!G18,'F_Input Override'!G38)</f>
        <v>11.874000000000001</v>
      </c>
      <c r="H18" s="24">
        <f>IF('F_Input Override'!H38="",'F_Input Override'!H18,'F_Input Override'!H38)</f>
        <v>8.0599999999999987</v>
      </c>
      <c r="I18" s="24">
        <f>IF('F_Input Override'!I38="",'F_Input Override'!I18,'F_Input Override'!I38)</f>
        <v>5.9420000000000002</v>
      </c>
      <c r="J18" s="24">
        <f>IF('F_Input Override'!J38="",'F_Input Override'!J18,'F_Input Override'!J38)</f>
        <v>23.365000000000002</v>
      </c>
      <c r="K18" s="24">
        <f t="shared" si="0"/>
        <v>63.53</v>
      </c>
      <c r="Q18" s="29"/>
      <c r="R18" s="29"/>
      <c r="S18" s="29"/>
      <c r="T18" s="29"/>
      <c r="U18" s="29"/>
      <c r="V18" s="29"/>
    </row>
    <row r="19" spans="1:22" ht="13.15">
      <c r="A19" s="16" t="s">
        <v>75</v>
      </c>
      <c r="B19" s="16" t="s">
        <v>168</v>
      </c>
      <c r="C19" s="16" t="s">
        <v>162</v>
      </c>
      <c r="D19" s="20" t="s">
        <v>60</v>
      </c>
      <c r="E19" s="16" t="s">
        <v>54</v>
      </c>
      <c r="F19" s="24">
        <f>IF('F_Input Override'!F39="",'F_Input Override'!F19,'F_Input Override'!F39)</f>
        <v>0</v>
      </c>
      <c r="G19" s="24">
        <f>IF('F_Input Override'!G39="",'F_Input Override'!G19,'F_Input Override'!G39)</f>
        <v>0</v>
      </c>
      <c r="H19" s="24">
        <f>IF('F_Input Override'!H39="",'F_Input Override'!H19,'F_Input Override'!H39)</f>
        <v>0</v>
      </c>
      <c r="I19" s="24">
        <f>IF('F_Input Override'!I39="",'F_Input Override'!I19,'F_Input Override'!I39)</f>
        <v>0</v>
      </c>
      <c r="J19" s="24">
        <f>IF('F_Input Override'!J39="",'F_Input Override'!J19,'F_Input Override'!J39)</f>
        <v>0</v>
      </c>
      <c r="K19" s="24">
        <f t="shared" si="0"/>
        <v>0</v>
      </c>
      <c r="Q19" s="29"/>
      <c r="R19" s="29"/>
      <c r="S19" s="29"/>
      <c r="T19" s="29"/>
      <c r="U19" s="29"/>
      <c r="V19" s="29"/>
    </row>
    <row r="20" spans="1:22" ht="13.15">
      <c r="A20" s="16" t="s">
        <v>76</v>
      </c>
      <c r="B20" s="16" t="s">
        <v>168</v>
      </c>
      <c r="C20" s="16" t="s">
        <v>162</v>
      </c>
      <c r="D20" s="20" t="s">
        <v>60</v>
      </c>
      <c r="E20" s="16" t="s">
        <v>54</v>
      </c>
      <c r="F20" s="24">
        <f>IF('F_Input Override'!F40="",'F_Input Override'!F20,'F_Input Override'!F40)</f>
        <v>0</v>
      </c>
      <c r="G20" s="24">
        <f>IF('F_Input Override'!G40="",'F_Input Override'!G20,'F_Input Override'!G40)</f>
        <v>0</v>
      </c>
      <c r="H20" s="24">
        <f>IF('F_Input Override'!H40="",'F_Input Override'!H20,'F_Input Override'!H40)</f>
        <v>0</v>
      </c>
      <c r="I20" s="24">
        <f>IF('F_Input Override'!I40="",'F_Input Override'!I20,'F_Input Override'!I40)</f>
        <v>0</v>
      </c>
      <c r="J20" s="24">
        <f>IF('F_Input Override'!J40="",'F_Input Override'!J20,'F_Input Override'!J40)</f>
        <v>0</v>
      </c>
      <c r="K20" s="24">
        <f t="shared" ref="K20" si="1">SUM(F20:J20)</f>
        <v>0</v>
      </c>
      <c r="Q20" s="29"/>
      <c r="R20" s="29"/>
      <c r="S20" s="29"/>
      <c r="T20" s="29"/>
      <c r="U20" s="29"/>
      <c r="V20" s="29"/>
    </row>
    <row r="21" spans="1:22" ht="13.15">
      <c r="K21" s="42"/>
    </row>
    <row r="22" spans="1:22">
      <c r="F22" s="29"/>
      <c r="G22" s="29"/>
      <c r="H22" s="29"/>
      <c r="I22" s="29"/>
      <c r="J22" s="29"/>
      <c r="K22" s="29"/>
    </row>
    <row r="23" spans="1:22">
      <c r="K23" s="29"/>
    </row>
    <row r="24" spans="1:22">
      <c r="D24" s="100"/>
      <c r="M24" s="29"/>
      <c r="N24" s="29"/>
      <c r="O24" s="29"/>
    </row>
    <row r="25" spans="1:22">
      <c r="D25" s="100"/>
    </row>
    <row r="26" spans="1:22">
      <c r="D26" s="100"/>
    </row>
    <row r="27" spans="1:22">
      <c r="D27" s="100"/>
    </row>
    <row r="28" spans="1:22">
      <c r="D28" s="100"/>
    </row>
    <row r="30" spans="1:22">
      <c r="D30" s="100"/>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579992-9C05-46F3-BA2B-022134FEF62B}">
  <sheetPr codeName="Sheet14">
    <tabColor rgb="FFCCCCCE"/>
  </sheetPr>
  <dimension ref="A1"/>
  <sheetViews>
    <sheetView zoomScale="80" zoomScaleNormal="80" workbookViewId="0"/>
  </sheetViews>
  <sheetFormatPr defaultRowHeight="12.75"/>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647EF6-B169-46A6-BE91-1AF8C05AECA1}">
  <sheetPr>
    <tabColor rgb="FFCCCCCE"/>
  </sheetPr>
  <dimension ref="A1:AN67"/>
  <sheetViews>
    <sheetView zoomScale="80" zoomScaleNormal="80" workbookViewId="0"/>
  </sheetViews>
  <sheetFormatPr defaultRowHeight="12.75"/>
  <cols>
    <col min="1" max="1" width="16.5703125" bestFit="1" customWidth="1"/>
    <col min="2" max="2" width="38" customWidth="1"/>
    <col min="3" max="3" width="13.7109375" customWidth="1"/>
    <col min="4" max="4" width="13" bestFit="1" customWidth="1"/>
    <col min="5" max="5" width="15" customWidth="1"/>
    <col min="6" max="6" width="14" bestFit="1" customWidth="1"/>
    <col min="7" max="7" width="13.5703125" customWidth="1"/>
    <col min="8" max="8" width="15.140625" customWidth="1"/>
    <col min="9" max="15" width="19.85546875" customWidth="1"/>
    <col min="16" max="16" width="37" bestFit="1" customWidth="1"/>
    <col min="17" max="17" width="14.42578125" customWidth="1"/>
    <col min="18" max="18" width="27.42578125" bestFit="1" customWidth="1"/>
    <col min="19" max="19" width="11.5703125" customWidth="1"/>
  </cols>
  <sheetData>
    <row r="1" spans="1:40" s="209" customFormat="1" ht="32.85" customHeight="1">
      <c r="A1" s="210" t="e">
        <f ca="1" xml:space="preserve"> RIGHT(CELL("filename", A1), LEN(CELL("filename", A1)) - SEARCH("]", CELL("filename", A1)))</f>
        <v>#VALUE!</v>
      </c>
      <c r="B1" s="210"/>
      <c r="C1" s="210"/>
      <c r="D1" s="210"/>
      <c r="E1" s="210"/>
      <c r="F1" s="210"/>
      <c r="G1" s="210"/>
      <c r="H1" s="210"/>
      <c r="I1" s="210"/>
      <c r="J1" s="210"/>
      <c r="K1" s="210"/>
      <c r="L1" s="210"/>
      <c r="M1" s="210"/>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row>
    <row r="3" spans="1:40" s="1" customFormat="1" ht="13.15">
      <c r="B3" s="1" t="s">
        <v>173</v>
      </c>
    </row>
    <row r="4" spans="1:40" s="1" customFormat="1" ht="13.15">
      <c r="B4" s="112" t="s">
        <v>174</v>
      </c>
    </row>
    <row r="6" spans="1:40" s="263" customFormat="1" ht="13.15">
      <c r="F6" s="232" t="s">
        <v>175</v>
      </c>
      <c r="G6" s="328" t="s">
        <v>175</v>
      </c>
      <c r="H6" s="329"/>
      <c r="I6" s="328" t="s">
        <v>175</v>
      </c>
      <c r="J6" s="329"/>
      <c r="K6" s="232" t="s">
        <v>175</v>
      </c>
      <c r="L6" s="232" t="s">
        <v>175</v>
      </c>
      <c r="M6" s="232" t="s">
        <v>175</v>
      </c>
      <c r="N6" s="232" t="s">
        <v>175</v>
      </c>
      <c r="O6" s="232" t="s">
        <v>175</v>
      </c>
      <c r="P6" s="232" t="s">
        <v>175</v>
      </c>
      <c r="Q6" s="232" t="s">
        <v>175</v>
      </c>
    </row>
    <row r="7" spans="1:40" s="263" customFormat="1" ht="13.15">
      <c r="B7" s="250"/>
      <c r="C7" s="250"/>
      <c r="D7" s="250"/>
      <c r="E7" s="250"/>
      <c r="F7" s="232" t="s">
        <v>176</v>
      </c>
      <c r="G7" s="330" t="s">
        <v>177</v>
      </c>
      <c r="H7" s="331"/>
      <c r="I7" s="332" t="s">
        <v>178</v>
      </c>
      <c r="J7" s="332"/>
      <c r="K7" s="132" t="s">
        <v>177</v>
      </c>
      <c r="L7" s="132" t="s">
        <v>179</v>
      </c>
      <c r="M7" s="132" t="s">
        <v>177</v>
      </c>
      <c r="N7" s="132" t="s">
        <v>177</v>
      </c>
      <c r="O7" s="132" t="s">
        <v>179</v>
      </c>
      <c r="P7" s="132" t="s">
        <v>179</v>
      </c>
      <c r="Q7" s="132" t="s">
        <v>179</v>
      </c>
      <c r="R7" s="250"/>
      <c r="S7" s="250"/>
      <c r="T7" s="250"/>
      <c r="U7" s="250"/>
      <c r="V7" s="250"/>
    </row>
    <row r="8" spans="1:40" s="128" customFormat="1" ht="84.75" customHeight="1">
      <c r="B8" s="79" t="s">
        <v>180</v>
      </c>
      <c r="C8" s="80" t="s">
        <v>181</v>
      </c>
      <c r="D8" s="80" t="s">
        <v>182</v>
      </c>
      <c r="E8" s="80" t="s">
        <v>82</v>
      </c>
      <c r="F8" s="80" t="s">
        <v>183</v>
      </c>
      <c r="G8" s="176" t="s">
        <v>184</v>
      </c>
      <c r="H8" s="177" t="s">
        <v>185</v>
      </c>
      <c r="I8" s="114" t="s">
        <v>178</v>
      </c>
      <c r="J8" s="121" t="s">
        <v>186</v>
      </c>
      <c r="K8" s="80" t="s">
        <v>187</v>
      </c>
      <c r="L8" s="80" t="s">
        <v>188</v>
      </c>
      <c r="M8" s="80" t="s">
        <v>189</v>
      </c>
      <c r="N8" s="80" t="s">
        <v>190</v>
      </c>
      <c r="O8" s="80" t="s">
        <v>191</v>
      </c>
      <c r="P8" s="80" t="s">
        <v>192</v>
      </c>
      <c r="Q8" s="80" t="s">
        <v>193</v>
      </c>
      <c r="R8" s="80" t="s">
        <v>194</v>
      </c>
      <c r="U8" s="22"/>
      <c r="V8" s="22"/>
    </row>
    <row r="9" spans="1:40" s="128" customFormat="1" ht="13.5">
      <c r="B9" s="142" t="s">
        <v>110</v>
      </c>
      <c r="C9" s="40" t="s">
        <v>57</v>
      </c>
      <c r="D9" s="241" t="s">
        <v>195</v>
      </c>
      <c r="E9" s="142" t="s">
        <v>60</v>
      </c>
      <c r="F9" s="84">
        <v>727</v>
      </c>
      <c r="G9" s="84">
        <v>38.945458563723008</v>
      </c>
      <c r="H9" s="242">
        <f t="shared" ref="H9:H36" si="0">G9/F9</f>
        <v>5.3570094310485566E-2</v>
      </c>
      <c r="I9" s="106">
        <f t="shared" ref="I9:I36" si="1">IFERROR(
    IF(H9 &lt; INDEX($D$41:$D$45, MATCH(D9, $C$41:$C$45, 0)), INDEX($D$41:$D$45, MATCH(D9, $C$41:$C$45, 0)),
    IF(H9 &gt; INDEX($E$41:$E$45, MATCH(D9, $C$41:$C$45, 0)), INDEX($E$41:$E$45, MATCH(D9, $C$41:$C$45, 0)), H9)),
    "Letter Not Found"
)</f>
        <v>0.06</v>
      </c>
      <c r="J9" s="84">
        <f t="shared" ref="J9:J36" si="2">I9*F9</f>
        <v>43.62</v>
      </c>
      <c r="K9" s="84">
        <v>0</v>
      </c>
      <c r="L9" s="84">
        <f t="shared" ref="L9:L36" si="3">J9-K9</f>
        <v>43.62</v>
      </c>
      <c r="M9" s="243">
        <v>16.788270734988291</v>
      </c>
      <c r="N9" s="243">
        <v>0</v>
      </c>
      <c r="O9" s="84">
        <v>0</v>
      </c>
      <c r="P9" s="244" t="s">
        <v>127</v>
      </c>
      <c r="Q9" s="84">
        <f t="shared" ref="Q9:Q36" si="4">SUM(L9:O9)</f>
        <v>60.408270734988292</v>
      </c>
      <c r="R9" s="107" t="s">
        <v>196</v>
      </c>
      <c r="U9" s="22"/>
      <c r="V9" s="22"/>
    </row>
    <row r="10" spans="1:40" s="128" customFormat="1" ht="13.5">
      <c r="B10" s="142" t="s">
        <v>141</v>
      </c>
      <c r="C10" s="40" t="s">
        <v>67</v>
      </c>
      <c r="D10" s="241" t="s">
        <v>197</v>
      </c>
      <c r="E10" s="142" t="s">
        <v>60</v>
      </c>
      <c r="F10" s="84">
        <v>993.54960000000005</v>
      </c>
      <c r="G10" s="84">
        <v>48.134913649237461</v>
      </c>
      <c r="H10" s="245">
        <f t="shared" si="0"/>
        <v>4.8447418879980886E-2</v>
      </c>
      <c r="I10" s="106">
        <f t="shared" si="1"/>
        <v>4.8447418879980886E-2</v>
      </c>
      <c r="J10" s="84">
        <f t="shared" si="2"/>
        <v>48.134913649237461</v>
      </c>
      <c r="K10" s="84">
        <v>17.42568357535</v>
      </c>
      <c r="L10" s="84">
        <f t="shared" si="3"/>
        <v>30.709230073887461</v>
      </c>
      <c r="M10" s="243">
        <v>0</v>
      </c>
      <c r="N10" s="243">
        <v>0</v>
      </c>
      <c r="O10" s="84">
        <v>0</v>
      </c>
      <c r="P10" s="244" t="s">
        <v>127</v>
      </c>
      <c r="Q10" s="84">
        <f t="shared" si="4"/>
        <v>30.709230073887461</v>
      </c>
      <c r="R10" s="142" t="s">
        <v>198</v>
      </c>
      <c r="U10" s="22"/>
      <c r="V10" s="22"/>
    </row>
    <row r="11" spans="1:40" s="128" customFormat="1" ht="13.5">
      <c r="B11" s="142" t="s">
        <v>120</v>
      </c>
      <c r="C11" s="40" t="s">
        <v>74</v>
      </c>
      <c r="D11" s="241" t="s">
        <v>195</v>
      </c>
      <c r="E11" s="142" t="s">
        <v>60</v>
      </c>
      <c r="F11" s="84">
        <v>304.77699999999999</v>
      </c>
      <c r="G11" s="84">
        <v>25.741914053906566</v>
      </c>
      <c r="H11" s="245">
        <f t="shared" si="0"/>
        <v>8.446147200709557E-2</v>
      </c>
      <c r="I11" s="106">
        <f t="shared" si="1"/>
        <v>8.446147200709557E-2</v>
      </c>
      <c r="J11" s="84">
        <f t="shared" si="2"/>
        <v>25.741914053906566</v>
      </c>
      <c r="K11" s="84">
        <v>4.6495888857228742</v>
      </c>
      <c r="L11" s="84">
        <f t="shared" si="3"/>
        <v>21.092325168183692</v>
      </c>
      <c r="M11" s="243">
        <v>18.062999999999995</v>
      </c>
      <c r="N11" s="243">
        <v>0</v>
      </c>
      <c r="O11" s="84">
        <v>0</v>
      </c>
      <c r="P11" s="244" t="s">
        <v>127</v>
      </c>
      <c r="Q11" s="243">
        <f t="shared" si="4"/>
        <v>39.155325168183687</v>
      </c>
      <c r="R11" s="142" t="s">
        <v>199</v>
      </c>
      <c r="U11" s="22"/>
      <c r="V11" s="22"/>
    </row>
    <row r="12" spans="1:40" s="128" customFormat="1" ht="13.5">
      <c r="B12" s="142" t="s">
        <v>133</v>
      </c>
      <c r="C12" s="40" t="s">
        <v>200</v>
      </c>
      <c r="D12" s="241" t="s">
        <v>201</v>
      </c>
      <c r="E12" s="142" t="s">
        <v>60</v>
      </c>
      <c r="F12" s="84">
        <v>680.35599999999999</v>
      </c>
      <c r="G12" s="84">
        <v>22.120991395526151</v>
      </c>
      <c r="H12" s="245">
        <f t="shared" si="0"/>
        <v>3.2513847743719688E-2</v>
      </c>
      <c r="I12" s="106">
        <f t="shared" si="1"/>
        <v>3.2513847743719688E-2</v>
      </c>
      <c r="J12" s="84">
        <f t="shared" si="2"/>
        <v>22.120991395526151</v>
      </c>
      <c r="K12" s="84">
        <v>5.1417547041060265</v>
      </c>
      <c r="L12" s="84">
        <f t="shared" si="3"/>
        <v>16.979236691420123</v>
      </c>
      <c r="M12" s="243">
        <v>54.494999999999997</v>
      </c>
      <c r="N12" s="243">
        <v>0</v>
      </c>
      <c r="O12" s="84">
        <v>0</v>
      </c>
      <c r="P12" s="244" t="s">
        <v>127</v>
      </c>
      <c r="Q12" s="243">
        <f t="shared" si="4"/>
        <v>71.474236691420117</v>
      </c>
      <c r="R12" s="142" t="s">
        <v>199</v>
      </c>
      <c r="U12" s="22"/>
      <c r="V12" s="22"/>
    </row>
    <row r="13" spans="1:40" s="128" customFormat="1" ht="13.5">
      <c r="B13" s="142" t="s">
        <v>117</v>
      </c>
      <c r="C13" s="40" t="s">
        <v>57</v>
      </c>
      <c r="D13" s="241" t="s">
        <v>201</v>
      </c>
      <c r="E13" s="142" t="s">
        <v>60</v>
      </c>
      <c r="F13" s="84">
        <v>3271.42</v>
      </c>
      <c r="G13" s="84">
        <v>248.26414915000001</v>
      </c>
      <c r="H13" s="245">
        <f t="shared" si="0"/>
        <v>7.5888803378960826E-2</v>
      </c>
      <c r="I13" s="106">
        <f t="shared" si="1"/>
        <v>7.5888803378960826E-2</v>
      </c>
      <c r="J13" s="84">
        <f t="shared" si="2"/>
        <v>248.26414915000004</v>
      </c>
      <c r="K13" s="84">
        <v>24.178415000000001</v>
      </c>
      <c r="L13" s="84">
        <f t="shared" si="3"/>
        <v>224.08573415000004</v>
      </c>
      <c r="M13" s="243">
        <v>119.558432</v>
      </c>
      <c r="N13" s="243">
        <v>0</v>
      </c>
      <c r="O13" s="84">
        <v>0</v>
      </c>
      <c r="P13" s="244" t="s">
        <v>127</v>
      </c>
      <c r="Q13" s="84">
        <f t="shared" si="4"/>
        <v>343.64416615000005</v>
      </c>
      <c r="R13" s="142" t="s">
        <v>199</v>
      </c>
      <c r="U13" s="22"/>
      <c r="V13" s="22"/>
    </row>
    <row r="14" spans="1:40" s="128" customFormat="1" ht="13.5">
      <c r="B14" s="142" t="s">
        <v>106</v>
      </c>
      <c r="C14" s="40" t="s">
        <v>202</v>
      </c>
      <c r="D14" s="241" t="s">
        <v>201</v>
      </c>
      <c r="E14" s="142" t="s">
        <v>60</v>
      </c>
      <c r="F14" s="84">
        <v>466.774</v>
      </c>
      <c r="G14" s="84">
        <v>34.587010620502156</v>
      </c>
      <c r="H14" s="245">
        <f t="shared" si="0"/>
        <v>7.4097980222767673E-2</v>
      </c>
      <c r="I14" s="245">
        <f t="shared" si="1"/>
        <v>7.4097980222767673E-2</v>
      </c>
      <c r="J14" s="84">
        <f t="shared" si="2"/>
        <v>34.587010620502156</v>
      </c>
      <c r="K14" s="84">
        <v>13.56293062050216</v>
      </c>
      <c r="L14" s="84">
        <f t="shared" si="3"/>
        <v>21.024079999999998</v>
      </c>
      <c r="M14" s="243">
        <v>6.1802399999999995</v>
      </c>
      <c r="N14" s="243">
        <v>0</v>
      </c>
      <c r="O14" s="84">
        <v>4.8849813083506888E-15</v>
      </c>
      <c r="P14" s="244" t="s">
        <v>127</v>
      </c>
      <c r="Q14" s="84">
        <f t="shared" si="4"/>
        <v>27.204319999999999</v>
      </c>
      <c r="R14" s="142" t="s">
        <v>199</v>
      </c>
      <c r="U14" s="22"/>
      <c r="V14" s="22"/>
    </row>
    <row r="15" spans="1:40" s="128" customFormat="1" ht="13.5">
      <c r="B15" s="142" t="s">
        <v>138</v>
      </c>
      <c r="C15" s="40" t="s">
        <v>66</v>
      </c>
      <c r="D15" s="241" t="s">
        <v>203</v>
      </c>
      <c r="E15" s="142" t="s">
        <v>60</v>
      </c>
      <c r="F15" s="84">
        <v>1236.3109999999999</v>
      </c>
      <c r="G15" s="84">
        <v>154.89260720359951</v>
      </c>
      <c r="H15" s="245">
        <f t="shared" si="0"/>
        <v>0.12528611911048232</v>
      </c>
      <c r="I15" s="245">
        <f t="shared" si="1"/>
        <v>0.12</v>
      </c>
      <c r="J15" s="84">
        <f t="shared" si="2"/>
        <v>148.35731999999999</v>
      </c>
      <c r="K15" s="84">
        <v>77.356541171598067</v>
      </c>
      <c r="L15" s="84">
        <f t="shared" si="3"/>
        <v>71.00077882840192</v>
      </c>
      <c r="M15" s="243">
        <v>7.2331198933578378</v>
      </c>
      <c r="N15" s="243">
        <v>0</v>
      </c>
      <c r="O15" s="84">
        <v>0</v>
      </c>
      <c r="P15" s="244" t="s">
        <v>127</v>
      </c>
      <c r="Q15" s="84">
        <f t="shared" si="4"/>
        <v>78.233898721759758</v>
      </c>
      <c r="R15" s="142" t="s">
        <v>199</v>
      </c>
      <c r="U15" s="22"/>
      <c r="V15" s="22"/>
    </row>
    <row r="16" spans="1:40" s="128" customFormat="1" ht="13.5">
      <c r="B16" s="142" t="s">
        <v>118</v>
      </c>
      <c r="C16" s="40" t="s">
        <v>204</v>
      </c>
      <c r="D16" s="241" t="s">
        <v>195</v>
      </c>
      <c r="E16" s="142" t="s">
        <v>60</v>
      </c>
      <c r="F16" s="84">
        <v>384.47</v>
      </c>
      <c r="G16" s="84">
        <v>30.753260000000004</v>
      </c>
      <c r="H16" s="245">
        <f t="shared" si="0"/>
        <v>7.9988711733035095E-2</v>
      </c>
      <c r="I16" s="106">
        <f t="shared" si="1"/>
        <v>7.9988711733035095E-2</v>
      </c>
      <c r="J16" s="84">
        <f t="shared" si="2"/>
        <v>30.753260000000004</v>
      </c>
      <c r="K16" s="246">
        <v>12.101739999999999</v>
      </c>
      <c r="L16" s="243">
        <f t="shared" si="3"/>
        <v>18.651520000000005</v>
      </c>
      <c r="M16" s="247">
        <v>2.3051400000000002</v>
      </c>
      <c r="N16" s="247">
        <v>0</v>
      </c>
      <c r="O16" s="248">
        <v>0</v>
      </c>
      <c r="P16" s="244" t="s">
        <v>127</v>
      </c>
      <c r="Q16" s="84">
        <f t="shared" si="4"/>
        <v>20.956660000000007</v>
      </c>
      <c r="R16" s="142" t="s">
        <v>199</v>
      </c>
      <c r="U16" s="22"/>
      <c r="V16" s="22"/>
    </row>
    <row r="17" spans="2:22" s="128" customFormat="1" ht="13.5">
      <c r="B17" s="142" t="s">
        <v>116</v>
      </c>
      <c r="C17" s="40" t="s">
        <v>57</v>
      </c>
      <c r="D17" s="241" t="s">
        <v>201</v>
      </c>
      <c r="E17" s="142" t="s">
        <v>60</v>
      </c>
      <c r="F17" s="84">
        <v>3765.95</v>
      </c>
      <c r="G17" s="84">
        <v>215.23208862659999</v>
      </c>
      <c r="H17" s="245">
        <f t="shared" si="0"/>
        <v>5.7152136546316332E-2</v>
      </c>
      <c r="I17" s="106">
        <f t="shared" si="1"/>
        <v>5.7152136546316332E-2</v>
      </c>
      <c r="J17" s="84">
        <f t="shared" si="2"/>
        <v>215.23208862659999</v>
      </c>
      <c r="K17" s="84">
        <v>42.036616154645763</v>
      </c>
      <c r="L17" s="84">
        <f t="shared" si="3"/>
        <v>173.19547247195422</v>
      </c>
      <c r="M17" s="243">
        <v>20.023497589750185</v>
      </c>
      <c r="N17" s="243">
        <v>0</v>
      </c>
      <c r="O17" s="84">
        <v>0</v>
      </c>
      <c r="P17" s="244" t="s">
        <v>127</v>
      </c>
      <c r="Q17" s="84">
        <f t="shared" si="4"/>
        <v>193.2189700617044</v>
      </c>
      <c r="R17" s="142" t="s">
        <v>199</v>
      </c>
      <c r="U17" s="22"/>
      <c r="V17" s="22"/>
    </row>
    <row r="18" spans="2:22" s="128" customFormat="1" ht="13.5">
      <c r="B18" s="39" t="s">
        <v>143</v>
      </c>
      <c r="C18" s="40" t="s">
        <v>67</v>
      </c>
      <c r="D18" s="241" t="s">
        <v>195</v>
      </c>
      <c r="E18" s="142" t="s">
        <v>60</v>
      </c>
      <c r="F18" s="84">
        <v>634.95409001279324</v>
      </c>
      <c r="G18" s="84">
        <v>44.177490324358409</v>
      </c>
      <c r="H18" s="245">
        <f t="shared" si="0"/>
        <v>6.9575881184525179E-2</v>
      </c>
      <c r="I18" s="106">
        <f t="shared" si="1"/>
        <v>6.9575881184525179E-2</v>
      </c>
      <c r="J18" s="84">
        <f t="shared" si="2"/>
        <v>44.177490324358409</v>
      </c>
      <c r="K18" s="84">
        <v>3.5845159067854073</v>
      </c>
      <c r="L18" s="243">
        <f t="shared" si="3"/>
        <v>40.592974417573004</v>
      </c>
      <c r="M18" s="243">
        <v>0</v>
      </c>
      <c r="N18" s="243">
        <v>0</v>
      </c>
      <c r="O18" s="84">
        <v>17.5593</v>
      </c>
      <c r="P18" s="244" t="s">
        <v>205</v>
      </c>
      <c r="Q18" s="84">
        <f t="shared" si="4"/>
        <v>58.152274417573004</v>
      </c>
      <c r="R18" s="142" t="s">
        <v>198</v>
      </c>
      <c r="U18" s="22"/>
      <c r="V18" s="22"/>
    </row>
    <row r="19" spans="2:22" s="128" customFormat="1" ht="13.5">
      <c r="B19" s="142" t="s">
        <v>149</v>
      </c>
      <c r="C19" s="40" t="s">
        <v>57</v>
      </c>
      <c r="D19" s="241" t="s">
        <v>195</v>
      </c>
      <c r="E19" s="142" t="s">
        <v>60</v>
      </c>
      <c r="F19" s="84">
        <v>686</v>
      </c>
      <c r="G19" s="84">
        <v>40.09140192000001</v>
      </c>
      <c r="H19" s="245">
        <f t="shared" si="0"/>
        <v>5.8442276851311967E-2</v>
      </c>
      <c r="I19" s="106">
        <f t="shared" si="1"/>
        <v>0.06</v>
      </c>
      <c r="J19" s="84">
        <f t="shared" si="2"/>
        <v>41.16</v>
      </c>
      <c r="K19" s="84">
        <v>0</v>
      </c>
      <c r="L19" s="84">
        <f t="shared" si="3"/>
        <v>41.16</v>
      </c>
      <c r="M19" s="243">
        <v>14.95530918</v>
      </c>
      <c r="N19" s="243">
        <v>0</v>
      </c>
      <c r="O19" s="84">
        <v>0</v>
      </c>
      <c r="P19" s="244" t="s">
        <v>127</v>
      </c>
      <c r="Q19" s="84">
        <f t="shared" si="4"/>
        <v>56.115309179999997</v>
      </c>
      <c r="R19" s="142" t="s">
        <v>196</v>
      </c>
      <c r="U19" s="22"/>
      <c r="V19" s="22"/>
    </row>
    <row r="20" spans="2:22" s="128" customFormat="1" ht="13.5">
      <c r="B20" s="142" t="s">
        <v>134</v>
      </c>
      <c r="C20" s="40" t="s">
        <v>200</v>
      </c>
      <c r="D20" s="241" t="s">
        <v>201</v>
      </c>
      <c r="E20" s="142" t="s">
        <v>60</v>
      </c>
      <c r="F20" s="84">
        <v>1218.248</v>
      </c>
      <c r="G20" s="84">
        <v>34.58794505222842</v>
      </c>
      <c r="H20" s="245">
        <f t="shared" si="0"/>
        <v>2.8391546755856294E-2</v>
      </c>
      <c r="I20" s="106">
        <f t="shared" si="1"/>
        <v>2.8391546755856294E-2</v>
      </c>
      <c r="J20" s="84">
        <f t="shared" si="2"/>
        <v>34.58794505222842</v>
      </c>
      <c r="K20" s="84">
        <v>5.2204443807109007</v>
      </c>
      <c r="L20" s="84">
        <f t="shared" si="3"/>
        <v>29.367500671517519</v>
      </c>
      <c r="M20" s="243">
        <v>5.9</v>
      </c>
      <c r="N20" s="243">
        <v>0</v>
      </c>
      <c r="O20" s="84">
        <v>-3.8</v>
      </c>
      <c r="P20" s="244" t="s">
        <v>206</v>
      </c>
      <c r="Q20" s="84">
        <f t="shared" si="4"/>
        <v>31.467500671517517</v>
      </c>
      <c r="R20" s="142" t="s">
        <v>199</v>
      </c>
      <c r="U20" s="22"/>
      <c r="V20" s="22"/>
    </row>
    <row r="21" spans="2:22" s="128" customFormat="1" ht="13.5">
      <c r="B21" s="142" t="s">
        <v>108</v>
      </c>
      <c r="C21" s="40" t="s">
        <v>202</v>
      </c>
      <c r="D21" s="241" t="s">
        <v>203</v>
      </c>
      <c r="E21" s="142" t="s">
        <v>60</v>
      </c>
      <c r="F21" s="84">
        <v>176</v>
      </c>
      <c r="G21" s="84">
        <v>22.918923376716428</v>
      </c>
      <c r="H21" s="245">
        <f t="shared" si="0"/>
        <v>0.13022115554952515</v>
      </c>
      <c r="I21" s="106">
        <f t="shared" si="1"/>
        <v>0.12</v>
      </c>
      <c r="J21" s="84">
        <f t="shared" si="2"/>
        <v>21.119999999999997</v>
      </c>
      <c r="K21" s="84">
        <v>9.9743743571085872</v>
      </c>
      <c r="L21" s="243">
        <f t="shared" si="3"/>
        <v>11.14562564289141</v>
      </c>
      <c r="M21" s="243">
        <v>0.47449826989619376</v>
      </c>
      <c r="N21" s="243">
        <v>4.0257993079584775</v>
      </c>
      <c r="O21" s="84">
        <v>1.0547118733938987E-15</v>
      </c>
      <c r="P21" s="244" t="s">
        <v>127</v>
      </c>
      <c r="Q21" s="84">
        <f t="shared" si="4"/>
        <v>15.645923220746083</v>
      </c>
      <c r="R21" s="142" t="s">
        <v>199</v>
      </c>
      <c r="U21" s="22"/>
      <c r="V21" s="22"/>
    </row>
    <row r="22" spans="2:22" s="128" customFormat="1" ht="13.5">
      <c r="B22" s="142" t="s">
        <v>153</v>
      </c>
      <c r="C22" s="40" t="s">
        <v>74</v>
      </c>
      <c r="D22" s="241" t="s">
        <v>207</v>
      </c>
      <c r="E22" s="142" t="s">
        <v>60</v>
      </c>
      <c r="F22" s="84">
        <v>225</v>
      </c>
      <c r="G22" s="84">
        <v>0</v>
      </c>
      <c r="H22" s="245">
        <f t="shared" si="0"/>
        <v>0</v>
      </c>
      <c r="I22" s="249">
        <f t="shared" si="1"/>
        <v>0.08</v>
      </c>
      <c r="J22" s="84">
        <f t="shared" si="2"/>
        <v>18</v>
      </c>
      <c r="K22" s="84">
        <v>0</v>
      </c>
      <c r="L22" s="84">
        <f t="shared" si="3"/>
        <v>18</v>
      </c>
      <c r="M22" s="243">
        <v>0</v>
      </c>
      <c r="N22" s="243">
        <v>0</v>
      </c>
      <c r="O22" s="84">
        <v>0</v>
      </c>
      <c r="P22" s="244" t="s">
        <v>127</v>
      </c>
      <c r="Q22" s="84">
        <f t="shared" si="4"/>
        <v>18</v>
      </c>
      <c r="R22" s="142" t="s">
        <v>208</v>
      </c>
      <c r="U22" s="22"/>
      <c r="V22" s="22"/>
    </row>
    <row r="23" spans="2:22" s="128" customFormat="1" ht="13.5">
      <c r="B23" s="142" t="s">
        <v>151</v>
      </c>
      <c r="C23" s="40" t="s">
        <v>63</v>
      </c>
      <c r="D23" s="241" t="s">
        <v>195</v>
      </c>
      <c r="E23" s="142" t="s">
        <v>60</v>
      </c>
      <c r="F23" s="84">
        <v>662</v>
      </c>
      <c r="G23" s="84">
        <v>0</v>
      </c>
      <c r="H23" s="245">
        <f t="shared" si="0"/>
        <v>0</v>
      </c>
      <c r="I23" s="249">
        <f t="shared" si="1"/>
        <v>0.06</v>
      </c>
      <c r="J23" s="84">
        <f t="shared" si="2"/>
        <v>39.72</v>
      </c>
      <c r="K23" s="84">
        <v>0</v>
      </c>
      <c r="L23" s="84">
        <f t="shared" si="3"/>
        <v>39.72</v>
      </c>
      <c r="M23" s="243">
        <v>0</v>
      </c>
      <c r="N23" s="243">
        <v>0</v>
      </c>
      <c r="O23" s="84">
        <v>0</v>
      </c>
      <c r="P23" s="244" t="s">
        <v>127</v>
      </c>
      <c r="Q23" s="84">
        <f t="shared" si="4"/>
        <v>39.72</v>
      </c>
      <c r="R23" s="142" t="s">
        <v>199</v>
      </c>
      <c r="U23" s="22"/>
      <c r="V23" s="22"/>
    </row>
    <row r="24" spans="2:22" s="128" customFormat="1" ht="13.5">
      <c r="B24" s="142" t="s">
        <v>144</v>
      </c>
      <c r="C24" s="40" t="s">
        <v>68</v>
      </c>
      <c r="D24" s="241" t="s">
        <v>201</v>
      </c>
      <c r="E24" s="142" t="s">
        <v>60</v>
      </c>
      <c r="F24" s="84">
        <v>323.08999999999997</v>
      </c>
      <c r="G24" s="84">
        <v>42.390661148650324</v>
      </c>
      <c r="H24" s="245">
        <f t="shared" si="0"/>
        <v>0.13120387863644906</v>
      </c>
      <c r="I24" s="106">
        <f t="shared" si="1"/>
        <v>0.1</v>
      </c>
      <c r="J24" s="84">
        <f t="shared" si="2"/>
        <v>32.308999999999997</v>
      </c>
      <c r="K24" s="84">
        <v>16.904525787945317</v>
      </c>
      <c r="L24" s="84">
        <f t="shared" si="3"/>
        <v>15.40447421205468</v>
      </c>
      <c r="M24" s="243">
        <v>0.46473147999034653</v>
      </c>
      <c r="N24" s="243">
        <v>0</v>
      </c>
      <c r="O24" s="84">
        <v>0</v>
      </c>
      <c r="P24" s="244" t="s">
        <v>127</v>
      </c>
      <c r="Q24" s="84">
        <f t="shared" si="4"/>
        <v>15.869205692045027</v>
      </c>
      <c r="R24" s="142" t="s">
        <v>199</v>
      </c>
      <c r="U24" s="22"/>
      <c r="V24" s="22"/>
    </row>
    <row r="25" spans="2:22" s="128" customFormat="1" ht="13.5">
      <c r="B25" s="142" t="s">
        <v>130</v>
      </c>
      <c r="C25" s="40" t="s">
        <v>209</v>
      </c>
      <c r="D25" s="241" t="s">
        <v>207</v>
      </c>
      <c r="E25" s="142" t="s">
        <v>60</v>
      </c>
      <c r="F25" s="84">
        <v>341</v>
      </c>
      <c r="G25" s="84">
        <v>14.497615</v>
      </c>
      <c r="H25" s="245">
        <f t="shared" si="0"/>
        <v>4.2514999999999997E-2</v>
      </c>
      <c r="I25" s="106">
        <f t="shared" si="1"/>
        <v>0.08</v>
      </c>
      <c r="J25" s="84">
        <f t="shared" si="2"/>
        <v>27.28</v>
      </c>
      <c r="K25" s="84">
        <v>4.8312879999999989</v>
      </c>
      <c r="L25" s="84">
        <f t="shared" si="3"/>
        <v>22.448712</v>
      </c>
      <c r="M25" s="243">
        <v>1.0934165</v>
      </c>
      <c r="N25" s="243">
        <v>0</v>
      </c>
      <c r="O25" s="84">
        <v>0</v>
      </c>
      <c r="P25" s="244" t="s">
        <v>127</v>
      </c>
      <c r="Q25" s="84">
        <f t="shared" si="4"/>
        <v>23.5421285</v>
      </c>
      <c r="R25" s="142" t="s">
        <v>199</v>
      </c>
      <c r="U25" s="22"/>
      <c r="V25" s="22"/>
    </row>
    <row r="26" spans="2:22" s="128" customFormat="1" ht="13.5">
      <c r="B26" s="142" t="s">
        <v>114</v>
      </c>
      <c r="C26" s="40" t="s">
        <v>57</v>
      </c>
      <c r="D26" s="241" t="s">
        <v>201</v>
      </c>
      <c r="E26" s="142" t="s">
        <v>60</v>
      </c>
      <c r="F26" s="84">
        <v>174</v>
      </c>
      <c r="G26" s="84">
        <v>6.671359076432263</v>
      </c>
      <c r="H26" s="245">
        <f t="shared" si="0"/>
        <v>3.8341144117426798E-2</v>
      </c>
      <c r="I26" s="106">
        <f t="shared" si="1"/>
        <v>3.8341144117426798E-2</v>
      </c>
      <c r="J26" s="84">
        <f t="shared" si="2"/>
        <v>6.671359076432263</v>
      </c>
      <c r="K26" s="84">
        <v>1.787779871661602</v>
      </c>
      <c r="L26" s="84">
        <f t="shared" si="3"/>
        <v>4.883579204770661</v>
      </c>
      <c r="M26" s="243">
        <v>2.6102454948327658</v>
      </c>
      <c r="N26" s="243">
        <v>0.21617530039657196</v>
      </c>
      <c r="O26" s="84">
        <v>0</v>
      </c>
      <c r="P26" s="244" t="s">
        <v>127</v>
      </c>
      <c r="Q26" s="84">
        <f t="shared" si="4"/>
        <v>7.7099999999999991</v>
      </c>
      <c r="R26" s="142" t="s">
        <v>199</v>
      </c>
      <c r="U26" s="22"/>
      <c r="V26" s="22"/>
    </row>
    <row r="27" spans="2:22" s="128" customFormat="1" ht="13.5">
      <c r="B27" s="142" t="s">
        <v>131</v>
      </c>
      <c r="C27" s="40" t="s">
        <v>200</v>
      </c>
      <c r="D27" s="241" t="s">
        <v>203</v>
      </c>
      <c r="E27" s="142" t="s">
        <v>60</v>
      </c>
      <c r="F27" s="84">
        <v>163.16300000000001</v>
      </c>
      <c r="G27" s="84">
        <v>16.950697250515752</v>
      </c>
      <c r="H27" s="245">
        <f t="shared" si="0"/>
        <v>0.10388811955232345</v>
      </c>
      <c r="I27" s="106">
        <f t="shared" si="1"/>
        <v>0.10388811955232345</v>
      </c>
      <c r="J27" s="84">
        <f t="shared" si="2"/>
        <v>16.950697250515752</v>
      </c>
      <c r="K27" s="84">
        <v>6.0220972505157508</v>
      </c>
      <c r="L27" s="84">
        <f t="shared" si="3"/>
        <v>10.928600000000001</v>
      </c>
      <c r="M27" s="243">
        <v>11.523</v>
      </c>
      <c r="N27" s="243">
        <v>0</v>
      </c>
      <c r="O27" s="84">
        <v>0</v>
      </c>
      <c r="P27" s="244" t="s">
        <v>127</v>
      </c>
      <c r="Q27" s="84">
        <f t="shared" si="4"/>
        <v>22.451599999999999</v>
      </c>
      <c r="R27" s="142" t="s">
        <v>199</v>
      </c>
      <c r="U27" s="22"/>
      <c r="V27" s="22"/>
    </row>
    <row r="28" spans="2:22" s="128" customFormat="1" ht="13.5">
      <c r="B28" s="142" t="s">
        <v>128</v>
      </c>
      <c r="C28" s="40" t="s">
        <v>64</v>
      </c>
      <c r="D28" s="241" t="s">
        <v>207</v>
      </c>
      <c r="E28" s="142" t="s">
        <v>60</v>
      </c>
      <c r="F28" s="84">
        <v>290</v>
      </c>
      <c r="G28" s="84">
        <v>12.329349999999998</v>
      </c>
      <c r="H28" s="245">
        <f t="shared" si="0"/>
        <v>4.251499999999999E-2</v>
      </c>
      <c r="I28" s="106">
        <f t="shared" si="1"/>
        <v>0.08</v>
      </c>
      <c r="J28" s="84">
        <f t="shared" si="2"/>
        <v>23.2</v>
      </c>
      <c r="K28" s="84">
        <v>3.5728000000000009</v>
      </c>
      <c r="L28" s="84">
        <f t="shared" si="3"/>
        <v>19.627199999999998</v>
      </c>
      <c r="M28" s="243">
        <v>1.0447249999999999</v>
      </c>
      <c r="N28" s="243">
        <v>0</v>
      </c>
      <c r="O28" s="84">
        <v>0</v>
      </c>
      <c r="P28" s="244" t="s">
        <v>127</v>
      </c>
      <c r="Q28" s="84">
        <f t="shared" si="4"/>
        <v>20.671924999999998</v>
      </c>
      <c r="R28" s="142" t="s">
        <v>199</v>
      </c>
      <c r="U28" s="22"/>
      <c r="V28" s="22"/>
    </row>
    <row r="29" spans="2:22" s="128" customFormat="1" ht="13.5">
      <c r="B29" s="142" t="s">
        <v>102</v>
      </c>
      <c r="C29" s="40" t="s">
        <v>210</v>
      </c>
      <c r="D29" s="241" t="s">
        <v>201</v>
      </c>
      <c r="E29" s="142" t="s">
        <v>60</v>
      </c>
      <c r="F29" s="84">
        <v>2662.38</v>
      </c>
      <c r="G29" s="84">
        <v>213.38573833925741</v>
      </c>
      <c r="H29" s="245">
        <f t="shared" si="0"/>
        <v>8.0148490575822157E-2</v>
      </c>
      <c r="I29" s="106">
        <f t="shared" si="1"/>
        <v>8.0148490575822157E-2</v>
      </c>
      <c r="J29" s="84">
        <f t="shared" si="2"/>
        <v>213.38573833925741</v>
      </c>
      <c r="K29" s="84">
        <v>53.989738339257457</v>
      </c>
      <c r="L29" s="84">
        <f>J29-K29</f>
        <v>159.39599999999996</v>
      </c>
      <c r="M29" s="84">
        <v>144.28448027002656</v>
      </c>
      <c r="N29" s="243">
        <v>0</v>
      </c>
      <c r="O29" s="84">
        <v>41.570679474075874</v>
      </c>
      <c r="P29" s="244" t="s">
        <v>205</v>
      </c>
      <c r="Q29" s="84">
        <f t="shared" si="4"/>
        <v>345.25115974410238</v>
      </c>
      <c r="R29" s="142" t="s">
        <v>199</v>
      </c>
      <c r="U29" s="22"/>
      <c r="V29" s="22"/>
    </row>
    <row r="30" spans="2:22" s="128" customFormat="1" ht="13.5">
      <c r="B30" s="142" t="s">
        <v>124</v>
      </c>
      <c r="C30" s="40" t="s">
        <v>64</v>
      </c>
      <c r="D30" s="241" t="s">
        <v>203</v>
      </c>
      <c r="E30" s="142" t="s">
        <v>60</v>
      </c>
      <c r="F30" s="84">
        <v>145.74</v>
      </c>
      <c r="G30" s="84">
        <v>18.081275164927735</v>
      </c>
      <c r="H30" s="245">
        <f t="shared" si="0"/>
        <v>0.12406528862994191</v>
      </c>
      <c r="I30" s="106">
        <f t="shared" si="1"/>
        <v>0.12</v>
      </c>
      <c r="J30" s="84">
        <f t="shared" si="2"/>
        <v>17.488800000000001</v>
      </c>
      <c r="K30" s="84">
        <v>16.611328934158504</v>
      </c>
      <c r="L30" s="84">
        <f>J30-K30</f>
        <v>0.87747106584149748</v>
      </c>
      <c r="M30" s="243">
        <v>0</v>
      </c>
      <c r="N30" s="243">
        <v>0</v>
      </c>
      <c r="O30" s="243">
        <v>0.5925289341585025</v>
      </c>
      <c r="P30" s="244" t="s">
        <v>211</v>
      </c>
      <c r="Q30" s="84">
        <f t="shared" si="4"/>
        <v>1.47</v>
      </c>
      <c r="R30" s="142" t="s">
        <v>199</v>
      </c>
      <c r="U30" s="22"/>
      <c r="V30" s="22"/>
    </row>
    <row r="31" spans="2:22" s="128" customFormat="1" ht="13.5">
      <c r="B31" s="142" t="s">
        <v>125</v>
      </c>
      <c r="C31" s="40" t="s">
        <v>70</v>
      </c>
      <c r="D31" s="241" t="s">
        <v>207</v>
      </c>
      <c r="E31" s="142" t="s">
        <v>60</v>
      </c>
      <c r="F31" s="84">
        <v>308.76900000000001</v>
      </c>
      <c r="G31" s="84">
        <v>32.824861728304612</v>
      </c>
      <c r="H31" s="245">
        <f t="shared" si="0"/>
        <v>0.10630879955016408</v>
      </c>
      <c r="I31" s="249">
        <f t="shared" si="1"/>
        <v>0.1</v>
      </c>
      <c r="J31" s="84">
        <f t="shared" si="2"/>
        <v>30.876900000000003</v>
      </c>
      <c r="K31" s="84">
        <v>6.4446683264179994</v>
      </c>
      <c r="L31" s="84">
        <f t="shared" si="3"/>
        <v>24.432231673582002</v>
      </c>
      <c r="M31" s="243">
        <v>1.8379883171711926</v>
      </c>
      <c r="N31" s="243">
        <v>0</v>
      </c>
      <c r="O31" s="84">
        <v>2.6645352591003757E-15</v>
      </c>
      <c r="P31" s="244" t="s">
        <v>127</v>
      </c>
      <c r="Q31" s="84">
        <f t="shared" si="4"/>
        <v>26.270219990753198</v>
      </c>
      <c r="R31" s="142" t="s">
        <v>199</v>
      </c>
      <c r="U31" s="22"/>
      <c r="V31" s="22"/>
    </row>
    <row r="32" spans="2:22" s="128" customFormat="1" ht="13.5">
      <c r="B32" s="142" t="s">
        <v>122</v>
      </c>
      <c r="C32" s="40" t="s">
        <v>212</v>
      </c>
      <c r="D32" s="241" t="s">
        <v>201</v>
      </c>
      <c r="E32" s="142" t="s">
        <v>60</v>
      </c>
      <c r="F32" s="84">
        <v>1536.7449999999999</v>
      </c>
      <c r="G32" s="84">
        <v>54.671460727699611</v>
      </c>
      <c r="H32" s="245">
        <f t="shared" si="0"/>
        <v>3.5576143555176437E-2</v>
      </c>
      <c r="I32" s="106">
        <f t="shared" si="1"/>
        <v>3.5576143555176437E-2</v>
      </c>
      <c r="J32" s="84">
        <f t="shared" si="2"/>
        <v>54.671460727699611</v>
      </c>
      <c r="K32" s="84">
        <v>30.44746072769961</v>
      </c>
      <c r="L32" s="84">
        <f t="shared" si="3"/>
        <v>24.224</v>
      </c>
      <c r="M32" s="243">
        <v>0</v>
      </c>
      <c r="N32" s="243">
        <v>0</v>
      </c>
      <c r="O32" s="84">
        <v>0</v>
      </c>
      <c r="P32" s="244" t="s">
        <v>127</v>
      </c>
      <c r="Q32" s="84">
        <f t="shared" si="4"/>
        <v>24.224</v>
      </c>
      <c r="R32" s="142" t="s">
        <v>199</v>
      </c>
      <c r="U32" s="22"/>
      <c r="V32" s="22"/>
    </row>
    <row r="33" spans="2:23" s="128" customFormat="1" ht="13.5">
      <c r="B33" s="142" t="s">
        <v>109</v>
      </c>
      <c r="C33" s="40" t="s">
        <v>71</v>
      </c>
      <c r="D33" s="241" t="s">
        <v>201</v>
      </c>
      <c r="E33" s="142" t="s">
        <v>60</v>
      </c>
      <c r="F33" s="84">
        <v>401.72</v>
      </c>
      <c r="G33" s="84">
        <v>12.915947979369902</v>
      </c>
      <c r="H33" s="245">
        <f t="shared" si="0"/>
        <v>3.2151617991063183E-2</v>
      </c>
      <c r="I33" s="106">
        <f t="shared" si="1"/>
        <v>3.2151617991063183E-2</v>
      </c>
      <c r="J33" s="84">
        <f t="shared" si="2"/>
        <v>12.915947979369903</v>
      </c>
      <c r="K33" s="84">
        <v>8.0475479793699023</v>
      </c>
      <c r="L33" s="84">
        <f t="shared" si="3"/>
        <v>4.8684000000000012</v>
      </c>
      <c r="M33" s="243">
        <v>0.35</v>
      </c>
      <c r="N33" s="243">
        <v>0.92959999999999987</v>
      </c>
      <c r="O33" s="84">
        <v>0</v>
      </c>
      <c r="P33" s="244" t="s">
        <v>127</v>
      </c>
      <c r="Q33" s="84">
        <f t="shared" si="4"/>
        <v>6.1480000000000006</v>
      </c>
      <c r="R33" s="142" t="s">
        <v>199</v>
      </c>
      <c r="U33" s="22"/>
      <c r="V33" s="22"/>
    </row>
    <row r="34" spans="2:23" s="128" customFormat="1" ht="13.5">
      <c r="B34" s="142" t="s">
        <v>139</v>
      </c>
      <c r="C34" s="40" t="s">
        <v>66</v>
      </c>
      <c r="D34" s="241" t="s">
        <v>201</v>
      </c>
      <c r="E34" s="142" t="s">
        <v>60</v>
      </c>
      <c r="F34" s="84">
        <v>1006</v>
      </c>
      <c r="G34" s="84">
        <v>108.56090963262271</v>
      </c>
      <c r="H34" s="245">
        <f t="shared" si="0"/>
        <v>0.10791342905827307</v>
      </c>
      <c r="I34" s="106">
        <f t="shared" si="1"/>
        <v>0.1</v>
      </c>
      <c r="J34" s="84">
        <f t="shared" si="2"/>
        <v>100.60000000000001</v>
      </c>
      <c r="K34" s="84">
        <v>39.564068353245389</v>
      </c>
      <c r="L34" s="84">
        <f t="shared" si="3"/>
        <v>61.035931646754619</v>
      </c>
      <c r="M34" s="243">
        <v>5.2908675052836918</v>
      </c>
      <c r="N34" s="243">
        <v>0</v>
      </c>
      <c r="O34" s="84">
        <v>7.9936057773011271E-15</v>
      </c>
      <c r="P34" s="244" t="s">
        <v>127</v>
      </c>
      <c r="Q34" s="84">
        <f t="shared" si="4"/>
        <v>66.326799152038319</v>
      </c>
      <c r="R34" s="142" t="s">
        <v>199</v>
      </c>
      <c r="U34" s="22"/>
      <c r="V34" s="22"/>
    </row>
    <row r="35" spans="2:23" s="128" customFormat="1" ht="13.5">
      <c r="B35" s="39" t="s">
        <v>142</v>
      </c>
      <c r="C35" s="40" t="s">
        <v>67</v>
      </c>
      <c r="D35" s="241" t="s">
        <v>203</v>
      </c>
      <c r="E35" s="142" t="s">
        <v>60</v>
      </c>
      <c r="F35" s="84">
        <v>301.20915756511198</v>
      </c>
      <c r="G35" s="84">
        <v>49.077802678148316</v>
      </c>
      <c r="H35" s="245">
        <f t="shared" si="0"/>
        <v>0.16293595810591927</v>
      </c>
      <c r="I35" s="106">
        <f t="shared" si="1"/>
        <v>0.12</v>
      </c>
      <c r="J35" s="84">
        <f t="shared" si="2"/>
        <v>36.145098907813434</v>
      </c>
      <c r="K35" s="84">
        <v>17.960802678148323</v>
      </c>
      <c r="L35" s="84">
        <f t="shared" si="3"/>
        <v>18.184296229665112</v>
      </c>
      <c r="M35" s="243">
        <v>8.0687314052190047</v>
      </c>
      <c r="N35" s="243">
        <v>4.7969999999999997</v>
      </c>
      <c r="O35" s="84">
        <v>0</v>
      </c>
      <c r="P35" s="244" t="s">
        <v>127</v>
      </c>
      <c r="Q35" s="84">
        <f t="shared" si="4"/>
        <v>31.050027634884117</v>
      </c>
      <c r="R35" s="142" t="s">
        <v>213</v>
      </c>
      <c r="U35" s="22"/>
      <c r="V35" s="22"/>
    </row>
    <row r="36" spans="2:23" s="128" customFormat="1" ht="13.5">
      <c r="B36" s="142" t="s">
        <v>155</v>
      </c>
      <c r="C36" s="40" t="s">
        <v>64</v>
      </c>
      <c r="D36" s="241" t="s">
        <v>207</v>
      </c>
      <c r="E36" s="142" t="s">
        <v>60</v>
      </c>
      <c r="F36" s="142">
        <v>315.98</v>
      </c>
      <c r="G36" s="84">
        <v>0</v>
      </c>
      <c r="H36" s="245">
        <f t="shared" si="0"/>
        <v>0</v>
      </c>
      <c r="I36" s="249">
        <f t="shared" si="1"/>
        <v>0.08</v>
      </c>
      <c r="J36" s="84">
        <f t="shared" si="2"/>
        <v>25.278400000000001</v>
      </c>
      <c r="K36" s="84">
        <v>0</v>
      </c>
      <c r="L36" s="243">
        <f t="shared" si="3"/>
        <v>25.278400000000001</v>
      </c>
      <c r="M36" s="243">
        <v>0</v>
      </c>
      <c r="N36" s="243">
        <v>0</v>
      </c>
      <c r="O36" s="84">
        <v>0</v>
      </c>
      <c r="P36" s="244" t="s">
        <v>127</v>
      </c>
      <c r="Q36" s="84">
        <f t="shared" si="4"/>
        <v>25.278400000000001</v>
      </c>
      <c r="R36" s="142" t="s">
        <v>198</v>
      </c>
      <c r="U36" s="22"/>
      <c r="V36" s="22"/>
    </row>
    <row r="37" spans="2:23" s="128" customFormat="1" ht="13.5">
      <c r="B37" s="236" t="s">
        <v>89</v>
      </c>
      <c r="C37" s="237"/>
      <c r="D37" s="237"/>
      <c r="E37" s="236"/>
      <c r="F37" s="238">
        <f>SUM(F9:F36)</f>
        <v>23402.605847577906</v>
      </c>
      <c r="G37" s="238">
        <f>SUM(G9:G36)</f>
        <v>1542.8058326623268</v>
      </c>
      <c r="H37" s="239" t="s">
        <v>214</v>
      </c>
      <c r="I37" s="239" t="s">
        <v>214</v>
      </c>
      <c r="J37" s="238">
        <f>SUM(J9:J36)</f>
        <v>1613.3504851534476</v>
      </c>
      <c r="K37" s="239" t="s">
        <v>214</v>
      </c>
      <c r="L37" s="238">
        <f>SUM(L9:L36)</f>
        <v>1191.9337741484976</v>
      </c>
      <c r="M37" s="238">
        <f t="shared" ref="M37:O37" si="5">SUM(M9:M36)</f>
        <v>442.54469364051613</v>
      </c>
      <c r="N37" s="238">
        <f t="shared" si="5"/>
        <v>9.9685746083550484</v>
      </c>
      <c r="O37" s="238">
        <f t="shared" si="5"/>
        <v>55.922508408234386</v>
      </c>
      <c r="P37" s="240" t="s">
        <v>214</v>
      </c>
      <c r="Q37" s="238">
        <f>SUM(Q9:Q36)</f>
        <v>1700.3695508056037</v>
      </c>
      <c r="R37" s="238" t="s">
        <v>214</v>
      </c>
      <c r="S37" s="22"/>
      <c r="U37" s="22"/>
      <c r="V37" s="22"/>
    </row>
    <row r="38" spans="2:23" ht="14.25">
      <c r="B38" s="1"/>
      <c r="C38" s="125"/>
      <c r="D38" s="125"/>
      <c r="E38" s="125"/>
      <c r="F38" s="125"/>
      <c r="G38" s="125"/>
      <c r="H38" s="125"/>
      <c r="I38" s="125"/>
      <c r="J38" s="125"/>
      <c r="K38" s="125"/>
      <c r="L38" s="125"/>
      <c r="M38" s="125"/>
      <c r="N38" s="126"/>
      <c r="O38" s="125"/>
      <c r="Q38" s="120"/>
      <c r="R38" s="15"/>
      <c r="S38" s="15"/>
      <c r="T38" s="15"/>
      <c r="U38" s="15"/>
    </row>
    <row r="39" spans="2:23" ht="14.25">
      <c r="B39" s="125"/>
      <c r="C39" s="125"/>
      <c r="D39" s="125"/>
      <c r="E39" s="125"/>
      <c r="F39" s="125"/>
      <c r="G39" s="28"/>
      <c r="H39" s="15"/>
      <c r="I39" s="15"/>
      <c r="J39" s="28"/>
      <c r="K39" s="15"/>
      <c r="L39" s="28"/>
      <c r="M39" s="15"/>
      <c r="N39" s="15"/>
      <c r="O39" s="15"/>
      <c r="P39" s="28"/>
      <c r="Q39" s="120"/>
      <c r="R39" s="15"/>
      <c r="S39" s="15"/>
      <c r="T39" s="15"/>
      <c r="U39" s="15"/>
    </row>
    <row r="40" spans="2:23" s="128" customFormat="1" ht="14.25">
      <c r="B40" s="225" t="s">
        <v>182</v>
      </c>
      <c r="C40" s="226" t="s">
        <v>182</v>
      </c>
      <c r="D40" s="226" t="s">
        <v>215</v>
      </c>
      <c r="E40" s="226" t="s">
        <v>216</v>
      </c>
      <c r="F40" s="235"/>
      <c r="G40" s="22"/>
      <c r="H40" s="22"/>
      <c r="I40" s="250"/>
      <c r="J40" s="251"/>
      <c r="K40" s="252"/>
      <c r="L40" s="22"/>
      <c r="M40" s="22"/>
      <c r="N40" s="22"/>
      <c r="O40" s="22"/>
      <c r="P40" s="22"/>
      <c r="Q40" s="253"/>
      <c r="R40" s="22"/>
      <c r="S40" s="22"/>
      <c r="T40" s="22"/>
      <c r="U40" s="22"/>
    </row>
    <row r="41" spans="2:23" s="128" customFormat="1" ht="14.25">
      <c r="B41" s="254" t="s">
        <v>217</v>
      </c>
      <c r="C41" s="255" t="s">
        <v>201</v>
      </c>
      <c r="D41" s="256">
        <v>0</v>
      </c>
      <c r="E41" s="257">
        <v>0.1</v>
      </c>
      <c r="F41" s="235"/>
      <c r="G41" s="258"/>
      <c r="H41" s="258"/>
      <c r="I41" s="250"/>
      <c r="J41" s="251"/>
      <c r="K41" s="252"/>
      <c r="L41" s="22"/>
      <c r="O41" s="22"/>
      <c r="P41" s="22"/>
      <c r="Q41" s="22"/>
      <c r="R41" s="22"/>
      <c r="S41" s="22"/>
      <c r="T41" s="22"/>
      <c r="U41" s="22"/>
    </row>
    <row r="42" spans="2:23" s="128" customFormat="1" ht="14.25">
      <c r="B42" s="259" t="s">
        <v>218</v>
      </c>
      <c r="C42" s="260" t="s">
        <v>195</v>
      </c>
      <c r="D42" s="261">
        <v>0.06</v>
      </c>
      <c r="E42" s="261">
        <v>0.1</v>
      </c>
      <c r="F42" s="235"/>
      <c r="G42" s="258"/>
      <c r="H42" s="258"/>
      <c r="I42" s="250"/>
      <c r="J42" s="251"/>
      <c r="K42" s="252"/>
      <c r="L42" s="22"/>
      <c r="O42" s="22"/>
      <c r="P42" s="22"/>
      <c r="Q42" s="22"/>
      <c r="R42" s="22"/>
      <c r="S42" s="22"/>
      <c r="T42" s="22"/>
      <c r="U42" s="22"/>
    </row>
    <row r="43" spans="2:23" s="128" customFormat="1" ht="14.25">
      <c r="B43" s="262" t="s">
        <v>219</v>
      </c>
      <c r="C43" s="260" t="s">
        <v>207</v>
      </c>
      <c r="D43" s="261">
        <v>0.08</v>
      </c>
      <c r="E43" s="261">
        <v>0.1</v>
      </c>
      <c r="F43" s="235"/>
      <c r="G43" s="258"/>
      <c r="H43" s="258"/>
      <c r="I43" s="250"/>
      <c r="J43" s="251"/>
      <c r="K43" s="252"/>
      <c r="L43" s="22"/>
      <c r="O43" s="22"/>
      <c r="P43" s="22"/>
      <c r="Q43" s="22"/>
      <c r="R43" s="22"/>
      <c r="S43" s="22"/>
      <c r="T43" s="22"/>
      <c r="U43" s="22"/>
    </row>
    <row r="44" spans="2:23" s="128" customFormat="1" ht="14.25">
      <c r="B44" s="262" t="s">
        <v>220</v>
      </c>
      <c r="C44" s="260" t="s">
        <v>203</v>
      </c>
      <c r="D44" s="261">
        <v>0.1</v>
      </c>
      <c r="E44" s="261">
        <v>0.12</v>
      </c>
      <c r="F44" s="235"/>
      <c r="G44" s="258"/>
      <c r="H44" s="258"/>
      <c r="I44" s="250"/>
      <c r="J44" s="251"/>
      <c r="K44" s="252"/>
      <c r="L44" s="22"/>
      <c r="O44" s="22"/>
      <c r="P44" s="22"/>
      <c r="Q44" s="22"/>
      <c r="R44" s="22"/>
      <c r="S44" s="22"/>
      <c r="T44" s="22"/>
      <c r="U44" s="22"/>
    </row>
    <row r="45" spans="2:23" s="128" customFormat="1" ht="14.25">
      <c r="B45" s="262" t="s">
        <v>221</v>
      </c>
      <c r="C45" s="260" t="s">
        <v>197</v>
      </c>
      <c r="D45" s="261">
        <v>0</v>
      </c>
      <c r="E45" s="261" t="s">
        <v>127</v>
      </c>
      <c r="F45" s="235"/>
      <c r="G45" s="258"/>
      <c r="H45" s="258"/>
      <c r="I45" s="250"/>
      <c r="J45" s="251"/>
      <c r="K45" s="252"/>
      <c r="L45" s="22"/>
      <c r="O45" s="22"/>
      <c r="P45" s="22"/>
      <c r="Q45" s="22"/>
      <c r="R45" s="22"/>
      <c r="S45" s="22"/>
      <c r="T45" s="22"/>
      <c r="U45" s="22"/>
    </row>
    <row r="46" spans="2:23" s="128" customFormat="1" ht="13.5">
      <c r="B46" s="22"/>
      <c r="C46" s="22"/>
      <c r="D46" s="22"/>
      <c r="E46" s="22"/>
      <c r="F46" s="22"/>
      <c r="G46" s="258"/>
      <c r="H46" s="258"/>
      <c r="I46" s="250"/>
      <c r="J46" s="251"/>
      <c r="K46" s="252"/>
      <c r="L46" s="22"/>
      <c r="O46" s="22"/>
      <c r="P46" s="22"/>
      <c r="Q46" s="22"/>
      <c r="R46" s="22"/>
      <c r="S46" s="22"/>
      <c r="T46" s="22"/>
      <c r="U46" s="22"/>
    </row>
    <row r="47" spans="2:23" s="128" customFormat="1" ht="14.25">
      <c r="B47" s="263"/>
      <c r="C47" s="235"/>
      <c r="D47" s="235"/>
      <c r="E47" s="235"/>
      <c r="F47" s="263"/>
      <c r="G47" s="263"/>
      <c r="H47" s="263"/>
      <c r="I47" s="250"/>
      <c r="J47" s="251"/>
      <c r="K47" s="252"/>
      <c r="L47" s="22"/>
      <c r="P47" s="22"/>
      <c r="Q47" s="22"/>
      <c r="R47" s="22"/>
      <c r="S47" s="22"/>
      <c r="T47" s="22"/>
      <c r="U47" s="22"/>
    </row>
    <row r="48" spans="2:23" ht="30" customHeight="1">
      <c r="B48" s="225" t="s">
        <v>222</v>
      </c>
      <c r="C48" s="228" t="s">
        <v>223</v>
      </c>
      <c r="D48" s="226" t="s">
        <v>224</v>
      </c>
      <c r="E48" s="227" t="s">
        <v>225</v>
      </c>
      <c r="F48" s="226" t="s">
        <v>226</v>
      </c>
      <c r="G48" s="333" t="s">
        <v>175</v>
      </c>
      <c r="H48" s="334"/>
      <c r="J48" s="131"/>
      <c r="K48" s="129"/>
      <c r="L48" s="130"/>
      <c r="M48" s="15"/>
      <c r="N48" s="15"/>
      <c r="Q48" s="15"/>
      <c r="R48" s="15"/>
      <c r="S48" s="15"/>
      <c r="T48" s="15"/>
      <c r="U48" s="15"/>
      <c r="V48" s="15"/>
      <c r="W48" s="15"/>
    </row>
    <row r="49" spans="2:23" ht="14.25" customHeight="1">
      <c r="B49" s="16" t="s">
        <v>102</v>
      </c>
      <c r="C49" s="229">
        <f>277137.863160506/1000</f>
        <v>277.13786316050601</v>
      </c>
      <c r="D49" s="230">
        <v>0.85</v>
      </c>
      <c r="E49" s="231">
        <f>C49*D49</f>
        <v>235.5671836864301</v>
      </c>
      <c r="F49" s="232" t="s">
        <v>227</v>
      </c>
      <c r="G49" s="335" t="s">
        <v>228</v>
      </c>
      <c r="H49" s="336"/>
      <c r="J49" s="112"/>
      <c r="K49" s="129"/>
      <c r="L49" s="130"/>
      <c r="M49" s="15"/>
      <c r="N49" s="15"/>
      <c r="Q49" s="15"/>
      <c r="R49" s="15"/>
      <c r="S49" s="15"/>
      <c r="T49" s="15"/>
      <c r="U49" s="15"/>
      <c r="V49" s="15"/>
      <c r="W49" s="15"/>
    </row>
    <row r="50" spans="2:23" ht="14.25" customHeight="1">
      <c r="B50" s="16" t="s">
        <v>143</v>
      </c>
      <c r="C50" s="229">
        <f>117062/1000</f>
        <v>117.062</v>
      </c>
      <c r="D50" s="230">
        <v>0.85</v>
      </c>
      <c r="E50" s="231">
        <f>C50*D50</f>
        <v>99.50269999999999</v>
      </c>
      <c r="F50" s="230" t="s">
        <v>229</v>
      </c>
      <c r="G50" s="337" t="s">
        <v>230</v>
      </c>
      <c r="H50" s="338"/>
      <c r="J50" s="112"/>
      <c r="K50" s="129"/>
      <c r="L50" s="130"/>
      <c r="M50" s="15"/>
      <c r="N50" s="15"/>
      <c r="Q50" s="15"/>
      <c r="R50" s="15"/>
      <c r="S50" s="15"/>
      <c r="T50" s="15"/>
      <c r="U50" s="15"/>
      <c r="V50" s="15"/>
      <c r="W50" s="15"/>
    </row>
    <row r="51" spans="2:23" ht="14.25" customHeight="1">
      <c r="B51" s="16" t="s">
        <v>122</v>
      </c>
      <c r="C51" s="229">
        <v>28.899000000000001</v>
      </c>
      <c r="D51" s="230">
        <v>1</v>
      </c>
      <c r="E51" s="231">
        <f>C51*D51</f>
        <v>28.899000000000001</v>
      </c>
      <c r="F51" s="230" t="s">
        <v>231</v>
      </c>
      <c r="G51" s="337" t="s">
        <v>232</v>
      </c>
      <c r="H51" s="338"/>
      <c r="J51" s="112"/>
      <c r="K51" s="129"/>
      <c r="L51" s="130"/>
      <c r="M51" s="15"/>
      <c r="N51" s="15"/>
      <c r="Q51" s="15"/>
      <c r="R51" s="15"/>
      <c r="S51" s="15"/>
      <c r="T51" s="15"/>
      <c r="U51" s="15"/>
      <c r="V51" s="15"/>
      <c r="W51" s="15"/>
    </row>
    <row r="52" spans="2:23" ht="14.25">
      <c r="B52" s="19" t="s">
        <v>89</v>
      </c>
      <c r="C52" s="109">
        <f>SUM(C49:C51)</f>
        <v>423.09886316050603</v>
      </c>
      <c r="D52" s="233" t="s">
        <v>214</v>
      </c>
      <c r="E52" s="234">
        <f>SUM(E49:E51)</f>
        <v>363.9688836864301</v>
      </c>
      <c r="F52" s="233" t="s">
        <v>214</v>
      </c>
      <c r="G52" s="326" t="s">
        <v>214</v>
      </c>
      <c r="H52" s="327"/>
      <c r="I52" s="133"/>
      <c r="J52" s="112"/>
      <c r="K52" s="129"/>
      <c r="L52" s="130"/>
      <c r="M52" s="15"/>
      <c r="N52" s="15"/>
      <c r="Q52" s="15"/>
      <c r="R52" s="15"/>
      <c r="S52" s="15"/>
      <c r="T52" s="15"/>
      <c r="U52" s="15"/>
      <c r="V52" s="15"/>
      <c r="W52" s="15"/>
    </row>
    <row r="53" spans="2:23" ht="14.25">
      <c r="C53" s="128"/>
      <c r="D53" s="235"/>
      <c r="E53" s="235"/>
      <c r="F53" s="235"/>
      <c r="G53" s="235"/>
      <c r="H53" s="235"/>
      <c r="I53" s="133"/>
      <c r="J53" s="112"/>
      <c r="K53" s="129"/>
      <c r="L53" s="130"/>
      <c r="M53" s="15"/>
      <c r="N53" s="15"/>
      <c r="Q53" s="15"/>
      <c r="R53" s="15"/>
      <c r="S53" s="15"/>
      <c r="T53" s="15"/>
      <c r="U53" s="15"/>
      <c r="V53" s="15"/>
      <c r="W53" s="15"/>
    </row>
    <row r="54" spans="2:23" ht="14.25">
      <c r="D54" s="15"/>
      <c r="E54" s="15"/>
      <c r="F54" s="15"/>
      <c r="G54" s="151"/>
      <c r="H54" s="152"/>
      <c r="I54" s="133"/>
      <c r="J54" s="112"/>
      <c r="K54" s="129"/>
      <c r="L54" s="130"/>
      <c r="M54" s="15"/>
      <c r="P54" s="15"/>
      <c r="Q54" s="15"/>
      <c r="R54" s="15"/>
      <c r="S54" s="15"/>
      <c r="T54" s="15"/>
      <c r="U54" s="15"/>
      <c r="V54" s="15"/>
    </row>
    <row r="55" spans="2:23" ht="13.9">
      <c r="B55" s="15"/>
      <c r="C55" s="15"/>
      <c r="D55" s="15"/>
      <c r="E55" s="15"/>
      <c r="F55" s="15"/>
      <c r="G55" s="122"/>
      <c r="H55" s="122"/>
      <c r="I55" s="112"/>
      <c r="J55" s="129"/>
      <c r="K55" s="130"/>
      <c r="L55" s="15"/>
      <c r="O55" s="15"/>
      <c r="P55" s="15"/>
      <c r="Q55" s="15"/>
      <c r="R55" s="15"/>
      <c r="S55" s="15"/>
      <c r="T55" s="15"/>
      <c r="U55" s="15"/>
    </row>
    <row r="56" spans="2:23" ht="13.9">
      <c r="B56" s="120"/>
      <c r="C56" s="15"/>
      <c r="D56" s="15"/>
      <c r="E56" s="15"/>
      <c r="F56" s="15"/>
      <c r="G56" s="122"/>
      <c r="H56" s="122"/>
      <c r="I56" s="112"/>
      <c r="J56" s="129"/>
      <c r="K56" s="130"/>
      <c r="L56" s="15"/>
      <c r="O56" s="15"/>
      <c r="P56" s="15"/>
      <c r="Q56" s="15"/>
      <c r="R56" s="15"/>
      <c r="S56" s="15"/>
      <c r="T56" s="15"/>
      <c r="U56" s="15"/>
    </row>
    <row r="57" spans="2:23" ht="13.9">
      <c r="B57" s="15"/>
      <c r="C57" s="15"/>
      <c r="D57" s="15"/>
      <c r="E57" s="15"/>
      <c r="F57" s="15"/>
      <c r="G57" s="122"/>
      <c r="H57" s="122"/>
      <c r="I57" s="112"/>
      <c r="J57" s="129"/>
      <c r="K57" s="130"/>
      <c r="L57" s="15"/>
      <c r="O57" s="15"/>
      <c r="P57" s="15"/>
      <c r="Q57" s="15"/>
      <c r="R57" s="15"/>
      <c r="S57" s="15"/>
      <c r="T57" s="15"/>
      <c r="U57" s="15"/>
    </row>
    <row r="58" spans="2:23" ht="13.9">
      <c r="B58" s="15"/>
      <c r="C58" s="15"/>
      <c r="D58" s="15"/>
      <c r="E58" s="15"/>
      <c r="F58" s="15"/>
      <c r="G58" s="122"/>
      <c r="H58" s="122"/>
      <c r="I58" s="112"/>
      <c r="J58" s="129"/>
      <c r="K58" s="130"/>
      <c r="L58" s="15"/>
      <c r="O58" s="15"/>
      <c r="P58" s="15"/>
      <c r="Q58" s="15"/>
      <c r="R58" s="15"/>
      <c r="S58" s="15"/>
      <c r="T58" s="15"/>
      <c r="U58" s="15"/>
    </row>
    <row r="59" spans="2:23" ht="13.9">
      <c r="H59" s="122"/>
      <c r="I59" s="112"/>
      <c r="J59" s="129"/>
      <c r="K59" s="130"/>
      <c r="L59" s="15"/>
      <c r="O59" s="15"/>
      <c r="P59" s="15"/>
      <c r="Q59" s="15"/>
      <c r="R59" s="15"/>
      <c r="S59" s="15"/>
      <c r="T59" s="15"/>
      <c r="U59" s="15"/>
    </row>
    <row r="60" spans="2:23" ht="13.9">
      <c r="I60" s="112"/>
      <c r="J60" s="129"/>
      <c r="K60" s="130"/>
      <c r="L60" s="15"/>
    </row>
    <row r="61" spans="2:23" ht="13.9">
      <c r="I61" s="112"/>
      <c r="J61" s="129"/>
      <c r="K61" s="130"/>
      <c r="L61" s="15"/>
    </row>
    <row r="62" spans="2:23" ht="13.9">
      <c r="I62" s="112"/>
      <c r="J62" s="129"/>
      <c r="K62" s="130"/>
      <c r="L62" s="15"/>
    </row>
    <row r="63" spans="2:23" ht="13.9">
      <c r="I63" s="112"/>
      <c r="J63" s="129"/>
      <c r="K63" s="130"/>
      <c r="L63" s="15"/>
    </row>
    <row r="64" spans="2:23" ht="13.9">
      <c r="I64" s="112"/>
      <c r="J64" s="129"/>
      <c r="K64" s="130"/>
      <c r="L64" s="15"/>
    </row>
    <row r="65" spans="9:12" ht="13.9">
      <c r="I65" s="112"/>
      <c r="J65" s="129"/>
      <c r="K65" s="130"/>
      <c r="L65" s="15"/>
    </row>
    <row r="66" spans="9:12" ht="13.9">
      <c r="I66" s="179"/>
      <c r="J66" s="129"/>
      <c r="K66" s="130"/>
      <c r="L66" s="15"/>
    </row>
    <row r="67" spans="9:12" ht="13.9">
      <c r="I67" s="112"/>
      <c r="J67" s="129"/>
      <c r="K67" s="130"/>
      <c r="L67" s="15"/>
    </row>
  </sheetData>
  <mergeCells count="9">
    <mergeCell ref="G52:H52"/>
    <mergeCell ref="I6:J6"/>
    <mergeCell ref="G7:H7"/>
    <mergeCell ref="G6:H6"/>
    <mergeCell ref="I7:J7"/>
    <mergeCell ref="G48:H48"/>
    <mergeCell ref="G49:H49"/>
    <mergeCell ref="G50:H50"/>
    <mergeCell ref="G51:H51"/>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706437-68BB-4F9A-BD1C-7CC0B4E427A6}">
  <sheetPr>
    <tabColor rgb="FFCCCCCE"/>
  </sheetPr>
  <dimension ref="A1:AN2878"/>
  <sheetViews>
    <sheetView zoomScale="80" zoomScaleNormal="80" workbookViewId="0">
      <pane xSplit="2" topLeftCell="C1" activePane="topRight" state="frozen"/>
      <selection pane="topRight"/>
    </sheetView>
  </sheetViews>
  <sheetFormatPr defaultRowHeight="12.75"/>
  <cols>
    <col min="2" max="2" width="39.7109375" customWidth="1"/>
    <col min="3" max="3" width="16.140625" bestFit="1" customWidth="1"/>
    <col min="4" max="4" width="12.140625" customWidth="1"/>
    <col min="5" max="6" width="13.28515625" customWidth="1"/>
    <col min="7" max="7" width="13.28515625" bestFit="1" customWidth="1"/>
    <col min="8" max="9" width="13.140625" customWidth="1"/>
    <col min="10" max="11" width="11.140625" customWidth="1"/>
    <col min="12" max="12" width="10" customWidth="1"/>
    <col min="13" max="13" width="11.140625" customWidth="1"/>
    <col min="15" max="15" width="11.5703125" customWidth="1"/>
    <col min="16" max="16" width="13" customWidth="1"/>
    <col min="17" max="17" width="11" customWidth="1"/>
    <col min="18" max="18" width="11.85546875" customWidth="1"/>
    <col min="24" max="24" width="17.140625" customWidth="1"/>
    <col min="25" max="30" width="0" hidden="1" customWidth="1"/>
    <col min="31" max="31" width="48.7109375" customWidth="1"/>
  </cols>
  <sheetData>
    <row r="1" spans="1:40" s="209" customFormat="1" ht="32.85" customHeight="1">
      <c r="A1" s="210" t="e">
        <f ca="1" xml:space="preserve"> RIGHT(CELL("filename", A1), LEN(CELL("filename", A1)) - SEARCH("]", CELL("filename", A1)))</f>
        <v>#VALUE!</v>
      </c>
      <c r="B1" s="210"/>
      <c r="C1" s="210"/>
      <c r="D1" s="210"/>
      <c r="E1" s="210"/>
      <c r="F1" s="210"/>
      <c r="G1" s="210"/>
      <c r="H1" s="210"/>
      <c r="I1" s="210"/>
      <c r="J1" s="210"/>
      <c r="K1" s="210"/>
      <c r="L1" s="210"/>
      <c r="M1" s="210"/>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row>
    <row r="2" spans="1:40" ht="12.75" customHeight="1">
      <c r="A2" s="188"/>
      <c r="B2" s="188"/>
      <c r="C2" s="188"/>
      <c r="D2" s="188"/>
      <c r="E2" s="188"/>
      <c r="F2" s="188"/>
    </row>
    <row r="3" spans="1:40" s="14" customFormat="1" ht="13.15">
      <c r="B3" s="95" t="s">
        <v>233</v>
      </c>
    </row>
    <row r="5" spans="1:40" s="27" customFormat="1" ht="39.4">
      <c r="B5" s="21" t="s">
        <v>180</v>
      </c>
      <c r="C5" s="81" t="s">
        <v>92</v>
      </c>
      <c r="D5" s="81" t="s">
        <v>234</v>
      </c>
      <c r="E5" s="81" t="s">
        <v>82</v>
      </c>
      <c r="F5" s="81" t="s">
        <v>235</v>
      </c>
      <c r="G5" s="81" t="s">
        <v>236</v>
      </c>
      <c r="H5" s="81" t="s">
        <v>237</v>
      </c>
      <c r="I5" s="81" t="s">
        <v>238</v>
      </c>
      <c r="J5" s="119" t="s">
        <v>239</v>
      </c>
      <c r="K5" s="352" t="s">
        <v>170</v>
      </c>
      <c r="L5" s="352"/>
      <c r="M5" s="352"/>
      <c r="N5" s="352"/>
      <c r="O5" s="352"/>
      <c r="P5" s="352"/>
      <c r="Q5" s="352"/>
      <c r="R5" s="352"/>
      <c r="S5" s="352"/>
      <c r="T5" s="352"/>
      <c r="U5" s="352"/>
      <c r="V5" s="352"/>
      <c r="W5" s="352"/>
      <c r="X5" s="352"/>
      <c r="Y5" s="352"/>
      <c r="Z5" s="352"/>
      <c r="AA5" s="352"/>
      <c r="AB5" s="352"/>
      <c r="AC5" s="352"/>
      <c r="AD5" s="352"/>
      <c r="AE5" s="352"/>
    </row>
    <row r="6" spans="1:40" s="128" customFormat="1" ht="13.15">
      <c r="B6" s="313" t="s">
        <v>122</v>
      </c>
      <c r="C6" s="313" t="s">
        <v>64</v>
      </c>
      <c r="D6" s="314">
        <v>0.1</v>
      </c>
      <c r="E6" s="144" t="s">
        <v>60</v>
      </c>
      <c r="F6" s="353">
        <f>SUM(G6:G8)</f>
        <v>0</v>
      </c>
      <c r="G6" s="84">
        <f t="shared" ref="G6:G36" si="0">SUMIFS($H$50:$H$72,$B$50:$B$72,$B6)*D6</f>
        <v>0</v>
      </c>
      <c r="H6" s="353">
        <f>SUM(I6:I8)</f>
        <v>7.896369</v>
      </c>
      <c r="I6" s="84">
        <f t="shared" ref="I6:I36" si="1">SUMIFS($R$50:$R$72,$B$50:$B$72,$B6)*D6</f>
        <v>0.78963690000000009</v>
      </c>
      <c r="J6" s="85">
        <f t="shared" ref="J6:J29" si="2">I6-G6</f>
        <v>0.78963690000000009</v>
      </c>
      <c r="K6" s="346" t="s">
        <v>240</v>
      </c>
      <c r="L6" s="346"/>
      <c r="M6" s="346"/>
      <c r="N6" s="346"/>
      <c r="O6" s="346"/>
      <c r="P6" s="346"/>
      <c r="Q6" s="346"/>
      <c r="R6" s="346"/>
      <c r="S6" s="346"/>
      <c r="T6" s="346"/>
      <c r="U6" s="346"/>
      <c r="V6" s="346"/>
      <c r="W6" s="346"/>
      <c r="X6" s="346"/>
      <c r="Y6" s="346"/>
      <c r="Z6" s="346"/>
      <c r="AA6" s="346"/>
      <c r="AB6" s="346"/>
      <c r="AC6" s="346"/>
      <c r="AD6" s="346"/>
      <c r="AE6" s="346"/>
    </row>
    <row r="7" spans="1:40" s="128" customFormat="1" ht="13.15">
      <c r="B7" s="313" t="s">
        <v>122</v>
      </c>
      <c r="C7" s="313" t="s">
        <v>67</v>
      </c>
      <c r="D7" s="314">
        <v>0.8</v>
      </c>
      <c r="E7" s="144" t="s">
        <v>60</v>
      </c>
      <c r="F7" s="353"/>
      <c r="G7" s="84">
        <f t="shared" si="0"/>
        <v>0</v>
      </c>
      <c r="H7" s="353"/>
      <c r="I7" s="84">
        <f t="shared" si="1"/>
        <v>6.3170952000000007</v>
      </c>
      <c r="J7" s="85">
        <f t="shared" si="2"/>
        <v>6.3170952000000007</v>
      </c>
      <c r="K7" s="346" t="s">
        <v>240</v>
      </c>
      <c r="L7" s="346"/>
      <c r="M7" s="346"/>
      <c r="N7" s="346"/>
      <c r="O7" s="346"/>
      <c r="P7" s="346"/>
      <c r="Q7" s="346"/>
      <c r="R7" s="346"/>
      <c r="S7" s="346"/>
      <c r="T7" s="346"/>
      <c r="U7" s="346"/>
      <c r="V7" s="346"/>
      <c r="W7" s="346"/>
      <c r="X7" s="346"/>
      <c r="Y7" s="346"/>
      <c r="Z7" s="346"/>
      <c r="AA7" s="346"/>
      <c r="AB7" s="346"/>
      <c r="AC7" s="346"/>
      <c r="AD7" s="346"/>
      <c r="AE7" s="346"/>
    </row>
    <row r="8" spans="1:40" s="128" customFormat="1" ht="13.15">
      <c r="B8" s="313" t="s">
        <v>122</v>
      </c>
      <c r="C8" s="313" t="s">
        <v>68</v>
      </c>
      <c r="D8" s="314">
        <v>0.1</v>
      </c>
      <c r="E8" s="144" t="s">
        <v>60</v>
      </c>
      <c r="F8" s="353"/>
      <c r="G8" s="84">
        <f t="shared" si="0"/>
        <v>0</v>
      </c>
      <c r="H8" s="353"/>
      <c r="I8" s="84">
        <f t="shared" si="1"/>
        <v>0.78963690000000009</v>
      </c>
      <c r="J8" s="85">
        <f t="shared" si="2"/>
        <v>0.78963690000000009</v>
      </c>
      <c r="K8" s="346" t="s">
        <v>240</v>
      </c>
      <c r="L8" s="346"/>
      <c r="M8" s="346"/>
      <c r="N8" s="346"/>
      <c r="O8" s="346"/>
      <c r="P8" s="346"/>
      <c r="Q8" s="346"/>
      <c r="R8" s="346"/>
      <c r="S8" s="346"/>
      <c r="T8" s="346"/>
      <c r="U8" s="346"/>
      <c r="V8" s="346"/>
      <c r="W8" s="346"/>
      <c r="X8" s="346"/>
      <c r="Y8" s="346"/>
      <c r="Z8" s="346"/>
      <c r="AA8" s="346"/>
      <c r="AB8" s="346"/>
      <c r="AC8" s="346"/>
      <c r="AD8" s="346"/>
      <c r="AE8" s="346"/>
    </row>
    <row r="9" spans="1:40" s="128" customFormat="1" ht="13.15" customHeight="1">
      <c r="B9" s="313" t="s">
        <v>138</v>
      </c>
      <c r="C9" s="313" t="s">
        <v>66</v>
      </c>
      <c r="D9" s="314">
        <v>1</v>
      </c>
      <c r="E9" s="144" t="s">
        <v>60</v>
      </c>
      <c r="F9" s="98">
        <f>SUM(G9)</f>
        <v>8.36</v>
      </c>
      <c r="G9" s="84">
        <f t="shared" si="0"/>
        <v>8.36</v>
      </c>
      <c r="H9" s="98">
        <f>SUM(I9)</f>
        <v>15.410735500000001</v>
      </c>
      <c r="I9" s="84">
        <f t="shared" si="1"/>
        <v>15.410735500000001</v>
      </c>
      <c r="J9" s="85">
        <f t="shared" si="2"/>
        <v>7.0507355000000018</v>
      </c>
      <c r="K9" s="346" t="s">
        <v>241</v>
      </c>
      <c r="L9" s="346"/>
      <c r="M9" s="346"/>
      <c r="N9" s="346"/>
      <c r="O9" s="346"/>
      <c r="P9" s="346"/>
      <c r="Q9" s="346"/>
      <c r="R9" s="346"/>
      <c r="S9" s="346"/>
      <c r="T9" s="346"/>
      <c r="U9" s="346"/>
      <c r="V9" s="346"/>
      <c r="W9" s="346"/>
      <c r="X9" s="346"/>
      <c r="Y9" s="346"/>
      <c r="Z9" s="346"/>
      <c r="AA9" s="346"/>
      <c r="AB9" s="346"/>
      <c r="AC9" s="346"/>
      <c r="AD9" s="346"/>
      <c r="AE9" s="346"/>
    </row>
    <row r="10" spans="1:40" s="128" customFormat="1" ht="13.15" customHeight="1">
      <c r="B10" s="313" t="s">
        <v>114</v>
      </c>
      <c r="C10" s="313" t="s">
        <v>57</v>
      </c>
      <c r="D10" s="314">
        <v>1</v>
      </c>
      <c r="E10" s="144" t="s">
        <v>60</v>
      </c>
      <c r="F10" s="98">
        <f>SUM(G10)</f>
        <v>0</v>
      </c>
      <c r="G10" s="84">
        <f t="shared" si="0"/>
        <v>0</v>
      </c>
      <c r="H10" s="98">
        <f>SUM(I10)</f>
        <v>0</v>
      </c>
      <c r="I10" s="84">
        <f t="shared" si="1"/>
        <v>0</v>
      </c>
      <c r="J10" s="85">
        <f t="shared" si="2"/>
        <v>0</v>
      </c>
      <c r="K10" s="346" t="s">
        <v>127</v>
      </c>
      <c r="L10" s="346"/>
      <c r="M10" s="346"/>
      <c r="N10" s="346"/>
      <c r="O10" s="346"/>
      <c r="P10" s="346"/>
      <c r="Q10" s="346"/>
      <c r="R10" s="346"/>
      <c r="S10" s="346"/>
      <c r="T10" s="346"/>
      <c r="U10" s="346"/>
      <c r="V10" s="346"/>
      <c r="W10" s="346"/>
      <c r="X10" s="346"/>
      <c r="Y10" s="346"/>
      <c r="Z10" s="346"/>
      <c r="AA10" s="346"/>
      <c r="AB10" s="346"/>
      <c r="AC10" s="346"/>
      <c r="AD10" s="346"/>
      <c r="AE10" s="346"/>
    </row>
    <row r="11" spans="1:40" s="128" customFormat="1" ht="13.15" customHeight="1">
      <c r="B11" s="313" t="s">
        <v>109</v>
      </c>
      <c r="C11" s="313" t="s">
        <v>71</v>
      </c>
      <c r="D11" s="314">
        <v>1</v>
      </c>
      <c r="E11" s="144" t="s">
        <v>60</v>
      </c>
      <c r="F11" s="98">
        <f>SUM(G11)</f>
        <v>0</v>
      </c>
      <c r="G11" s="84">
        <f t="shared" si="0"/>
        <v>0</v>
      </c>
      <c r="H11" s="98">
        <f>SUM(I11)</f>
        <v>0</v>
      </c>
      <c r="I11" s="84">
        <f t="shared" si="1"/>
        <v>0</v>
      </c>
      <c r="J11" s="85">
        <f t="shared" si="2"/>
        <v>0</v>
      </c>
      <c r="K11" s="346" t="s">
        <v>127</v>
      </c>
      <c r="L11" s="346"/>
      <c r="M11" s="346"/>
      <c r="N11" s="346"/>
      <c r="O11" s="346"/>
      <c r="P11" s="346"/>
      <c r="Q11" s="346"/>
      <c r="R11" s="346"/>
      <c r="S11" s="346"/>
      <c r="T11" s="346"/>
      <c r="U11" s="346"/>
      <c r="V11" s="346"/>
      <c r="W11" s="346"/>
      <c r="X11" s="346"/>
      <c r="Y11" s="346"/>
      <c r="Z11" s="346"/>
      <c r="AA11" s="346"/>
      <c r="AB11" s="346"/>
      <c r="AC11" s="346"/>
      <c r="AD11" s="346"/>
      <c r="AE11" s="346"/>
    </row>
    <row r="12" spans="1:40" s="128" customFormat="1" ht="13.15" customHeight="1">
      <c r="B12" s="142" t="s">
        <v>134</v>
      </c>
      <c r="C12" s="142" t="s">
        <v>69</v>
      </c>
      <c r="D12" s="315">
        <v>0.5</v>
      </c>
      <c r="E12" s="144" t="s">
        <v>60</v>
      </c>
      <c r="F12" s="354">
        <f>SUM(G12:G13)</f>
        <v>13.1</v>
      </c>
      <c r="G12" s="84">
        <f t="shared" si="0"/>
        <v>6.55</v>
      </c>
      <c r="H12" s="354">
        <f>SUM(I12:I13)</f>
        <v>7.2442956000000009</v>
      </c>
      <c r="I12" s="84">
        <f t="shared" si="1"/>
        <v>3.6221478000000005</v>
      </c>
      <c r="J12" s="85">
        <f t="shared" si="2"/>
        <v>-2.9278521999999993</v>
      </c>
      <c r="K12" s="346" t="s">
        <v>242</v>
      </c>
      <c r="L12" s="346"/>
      <c r="M12" s="346"/>
      <c r="N12" s="346"/>
      <c r="O12" s="346"/>
      <c r="P12" s="346"/>
      <c r="Q12" s="346"/>
      <c r="R12" s="346"/>
      <c r="S12" s="346"/>
      <c r="T12" s="346"/>
      <c r="U12" s="346"/>
      <c r="V12" s="346"/>
      <c r="W12" s="346"/>
      <c r="X12" s="346"/>
      <c r="Y12" s="346"/>
      <c r="Z12" s="346"/>
      <c r="AA12" s="346"/>
      <c r="AB12" s="346"/>
      <c r="AC12" s="346"/>
      <c r="AD12" s="346"/>
      <c r="AE12" s="346"/>
    </row>
    <row r="13" spans="1:40" s="128" customFormat="1" ht="13.15" customHeight="1">
      <c r="B13" s="142" t="s">
        <v>134</v>
      </c>
      <c r="C13" s="142" t="s">
        <v>65</v>
      </c>
      <c r="D13" s="315">
        <v>0.5</v>
      </c>
      <c r="E13" s="144" t="s">
        <v>60</v>
      </c>
      <c r="F13" s="354"/>
      <c r="G13" s="84">
        <f t="shared" si="0"/>
        <v>6.55</v>
      </c>
      <c r="H13" s="354"/>
      <c r="I13" s="84">
        <f t="shared" si="1"/>
        <v>3.6221478000000005</v>
      </c>
      <c r="J13" s="85">
        <f t="shared" si="2"/>
        <v>-2.9278521999999993</v>
      </c>
      <c r="K13" s="346" t="s">
        <v>242</v>
      </c>
      <c r="L13" s="346"/>
      <c r="M13" s="346"/>
      <c r="N13" s="346"/>
      <c r="O13" s="346"/>
      <c r="P13" s="346"/>
      <c r="Q13" s="346"/>
      <c r="R13" s="346"/>
      <c r="S13" s="346"/>
      <c r="T13" s="346"/>
      <c r="U13" s="346"/>
      <c r="V13" s="346"/>
      <c r="W13" s="346"/>
      <c r="X13" s="346"/>
      <c r="Y13" s="346"/>
      <c r="Z13" s="346"/>
      <c r="AA13" s="346"/>
      <c r="AB13" s="346"/>
      <c r="AC13" s="346"/>
      <c r="AD13" s="346"/>
      <c r="AE13" s="346"/>
    </row>
    <row r="14" spans="1:40" s="128" customFormat="1" ht="13.15" customHeight="1">
      <c r="B14" s="142" t="s">
        <v>133</v>
      </c>
      <c r="C14" s="142" t="s">
        <v>65</v>
      </c>
      <c r="D14" s="315">
        <v>0.57999999999999996</v>
      </c>
      <c r="E14" s="144" t="s">
        <v>60</v>
      </c>
      <c r="F14" s="354">
        <f>SUM(G14:G15)</f>
        <v>10.210000000000001</v>
      </c>
      <c r="G14" s="84">
        <f t="shared" si="0"/>
        <v>5.9218000000000002</v>
      </c>
      <c r="H14" s="354">
        <f>SUM(I14:I15)</f>
        <v>12.046333000000001</v>
      </c>
      <c r="I14" s="84">
        <f t="shared" si="1"/>
        <v>6.9868731400000001</v>
      </c>
      <c r="J14" s="85">
        <f t="shared" si="2"/>
        <v>1.06507314</v>
      </c>
      <c r="K14" s="346" t="s">
        <v>243</v>
      </c>
      <c r="L14" s="346"/>
      <c r="M14" s="346"/>
      <c r="N14" s="346"/>
      <c r="O14" s="346"/>
      <c r="P14" s="346"/>
      <c r="Q14" s="346"/>
      <c r="R14" s="346"/>
      <c r="S14" s="346"/>
      <c r="T14" s="346"/>
      <c r="U14" s="346"/>
      <c r="V14" s="346"/>
      <c r="W14" s="346"/>
      <c r="X14" s="346"/>
      <c r="Y14" s="346"/>
      <c r="Z14" s="346"/>
      <c r="AA14" s="346"/>
      <c r="AB14" s="346"/>
      <c r="AC14" s="346"/>
      <c r="AD14" s="346"/>
      <c r="AE14" s="346"/>
    </row>
    <row r="15" spans="1:40" s="128" customFormat="1" ht="13.15" customHeight="1">
      <c r="B15" s="142" t="s">
        <v>133</v>
      </c>
      <c r="C15" s="142" t="s">
        <v>69</v>
      </c>
      <c r="D15" s="315">
        <v>0.42</v>
      </c>
      <c r="E15" s="144" t="s">
        <v>60</v>
      </c>
      <c r="F15" s="354"/>
      <c r="G15" s="84">
        <f t="shared" si="0"/>
        <v>4.2881999999999998</v>
      </c>
      <c r="H15" s="354"/>
      <c r="I15" s="84">
        <f t="shared" si="1"/>
        <v>5.0594598600000005</v>
      </c>
      <c r="J15" s="85">
        <f t="shared" si="2"/>
        <v>0.77125986000000069</v>
      </c>
      <c r="K15" s="346" t="s">
        <v>243</v>
      </c>
      <c r="L15" s="346"/>
      <c r="M15" s="346"/>
      <c r="N15" s="346"/>
      <c r="O15" s="346"/>
      <c r="P15" s="346"/>
      <c r="Q15" s="346"/>
      <c r="R15" s="346"/>
      <c r="S15" s="346"/>
      <c r="T15" s="346"/>
      <c r="U15" s="346"/>
      <c r="V15" s="346"/>
      <c r="W15" s="346"/>
      <c r="X15" s="346"/>
      <c r="Y15" s="346"/>
      <c r="Z15" s="346"/>
      <c r="AA15" s="346"/>
      <c r="AB15" s="346"/>
      <c r="AC15" s="346"/>
      <c r="AD15" s="346"/>
      <c r="AE15" s="346"/>
    </row>
    <row r="16" spans="1:40" s="128" customFormat="1" ht="13.15" customHeight="1">
      <c r="B16" s="142" t="s">
        <v>139</v>
      </c>
      <c r="C16" s="142" t="s">
        <v>66</v>
      </c>
      <c r="D16" s="315">
        <v>1</v>
      </c>
      <c r="E16" s="144" t="s">
        <v>60</v>
      </c>
      <c r="F16" s="99">
        <f>SUM(G16)</f>
        <v>0</v>
      </c>
      <c r="G16" s="84">
        <f t="shared" si="0"/>
        <v>0</v>
      </c>
      <c r="H16" s="99">
        <f>SUM(I16)</f>
        <v>12.222670000000001</v>
      </c>
      <c r="I16" s="84">
        <f t="shared" si="1"/>
        <v>12.222670000000001</v>
      </c>
      <c r="J16" s="85">
        <f t="shared" si="2"/>
        <v>12.222670000000001</v>
      </c>
      <c r="K16" s="346" t="s">
        <v>244</v>
      </c>
      <c r="L16" s="346"/>
      <c r="M16" s="346"/>
      <c r="N16" s="346"/>
      <c r="O16" s="346"/>
      <c r="P16" s="346"/>
      <c r="Q16" s="346"/>
      <c r="R16" s="346"/>
      <c r="S16" s="346"/>
      <c r="T16" s="346"/>
      <c r="U16" s="346"/>
      <c r="V16" s="346"/>
      <c r="W16" s="346"/>
      <c r="X16" s="346"/>
      <c r="Y16" s="346"/>
      <c r="Z16" s="346"/>
      <c r="AA16" s="346"/>
      <c r="AB16" s="346"/>
      <c r="AC16" s="346"/>
      <c r="AD16" s="346"/>
      <c r="AE16" s="346"/>
    </row>
    <row r="17" spans="2:31" s="128" customFormat="1" ht="13.15" customHeight="1">
      <c r="B17" s="142" t="s">
        <v>131</v>
      </c>
      <c r="C17" s="142" t="s">
        <v>65</v>
      </c>
      <c r="D17" s="315">
        <v>0.58199999999999996</v>
      </c>
      <c r="E17" s="144" t="s">
        <v>60</v>
      </c>
      <c r="F17" s="354">
        <f>SUM(G17:G18)</f>
        <v>9.08</v>
      </c>
      <c r="G17" s="84">
        <f t="shared" si="0"/>
        <v>5.2845599999999999</v>
      </c>
      <c r="H17" s="354">
        <f>SUM(I17:I18)</f>
        <v>9.094521499999999</v>
      </c>
      <c r="I17" s="84">
        <f t="shared" si="1"/>
        <v>5.2930115129999988</v>
      </c>
      <c r="J17" s="85">
        <f t="shared" si="2"/>
        <v>8.4515129999989114E-3</v>
      </c>
      <c r="K17" s="346" t="s">
        <v>243</v>
      </c>
      <c r="L17" s="346"/>
      <c r="M17" s="346"/>
      <c r="N17" s="346"/>
      <c r="O17" s="346"/>
      <c r="P17" s="346"/>
      <c r="Q17" s="346"/>
      <c r="R17" s="346"/>
      <c r="S17" s="346"/>
      <c r="T17" s="346"/>
      <c r="U17" s="346"/>
      <c r="V17" s="346"/>
      <c r="W17" s="346"/>
      <c r="X17" s="346"/>
      <c r="Y17" s="346"/>
      <c r="Z17" s="346"/>
      <c r="AA17" s="346"/>
      <c r="AB17" s="346"/>
      <c r="AC17" s="346"/>
      <c r="AD17" s="346"/>
      <c r="AE17" s="346"/>
    </row>
    <row r="18" spans="2:31" s="128" customFormat="1" ht="13.15" customHeight="1">
      <c r="B18" s="142" t="s">
        <v>131</v>
      </c>
      <c r="C18" s="142" t="s">
        <v>69</v>
      </c>
      <c r="D18" s="315">
        <v>0.41799999999999998</v>
      </c>
      <c r="E18" s="144" t="s">
        <v>60</v>
      </c>
      <c r="F18" s="354"/>
      <c r="G18" s="84">
        <f t="shared" si="0"/>
        <v>3.7954399999999997</v>
      </c>
      <c r="H18" s="354"/>
      <c r="I18" s="84">
        <f t="shared" si="1"/>
        <v>3.8015099869999993</v>
      </c>
      <c r="J18" s="85">
        <f t="shared" si="2"/>
        <v>6.0699869999996103E-3</v>
      </c>
      <c r="K18" s="346" t="s">
        <v>243</v>
      </c>
      <c r="L18" s="346"/>
      <c r="M18" s="346"/>
      <c r="N18" s="346"/>
      <c r="O18" s="346"/>
      <c r="P18" s="346"/>
      <c r="Q18" s="346"/>
      <c r="R18" s="346"/>
      <c r="S18" s="346"/>
      <c r="T18" s="346"/>
      <c r="U18" s="346"/>
      <c r="V18" s="346"/>
      <c r="W18" s="346"/>
      <c r="X18" s="346"/>
      <c r="Y18" s="346"/>
      <c r="Z18" s="346"/>
      <c r="AA18" s="346"/>
      <c r="AB18" s="346"/>
      <c r="AC18" s="346"/>
      <c r="AD18" s="346"/>
      <c r="AE18" s="346"/>
    </row>
    <row r="19" spans="2:31" s="128" customFormat="1" ht="13.15" customHeight="1">
      <c r="B19" s="142" t="s">
        <v>106</v>
      </c>
      <c r="C19" s="142" t="s">
        <v>64</v>
      </c>
      <c r="D19" s="315">
        <v>0.5</v>
      </c>
      <c r="E19" s="144" t="s">
        <v>60</v>
      </c>
      <c r="F19" s="354">
        <f>SUM(G19:G20)</f>
        <v>14.85</v>
      </c>
      <c r="G19" s="84">
        <f t="shared" si="0"/>
        <v>7.4249999999999998</v>
      </c>
      <c r="H19" s="354">
        <f>SUM(I19:I20)</f>
        <v>11.3090195</v>
      </c>
      <c r="I19" s="84">
        <f t="shared" si="1"/>
        <v>5.6545097499999999</v>
      </c>
      <c r="J19" s="85">
        <f t="shared" si="2"/>
        <v>-1.7704902499999999</v>
      </c>
      <c r="K19" s="346" t="s">
        <v>245</v>
      </c>
      <c r="L19" s="346"/>
      <c r="M19" s="346"/>
      <c r="N19" s="346"/>
      <c r="O19" s="346"/>
      <c r="P19" s="346"/>
      <c r="Q19" s="346"/>
      <c r="R19" s="346"/>
      <c r="S19" s="346"/>
      <c r="T19" s="346"/>
      <c r="U19" s="346"/>
      <c r="V19" s="346"/>
      <c r="W19" s="346"/>
      <c r="X19" s="346"/>
      <c r="Y19" s="346"/>
      <c r="Z19" s="346"/>
      <c r="AA19" s="346"/>
      <c r="AB19" s="346"/>
      <c r="AC19" s="346"/>
      <c r="AD19" s="346"/>
      <c r="AE19" s="346"/>
    </row>
    <row r="20" spans="2:31" s="128" customFormat="1" ht="13.15" customHeight="1">
      <c r="B20" s="142" t="s">
        <v>106</v>
      </c>
      <c r="C20" s="142" t="s">
        <v>71</v>
      </c>
      <c r="D20" s="315">
        <v>0.5</v>
      </c>
      <c r="E20" s="144" t="s">
        <v>60</v>
      </c>
      <c r="F20" s="354"/>
      <c r="G20" s="84">
        <f t="shared" si="0"/>
        <v>7.4249999999999998</v>
      </c>
      <c r="H20" s="354"/>
      <c r="I20" s="84">
        <f t="shared" si="1"/>
        <v>5.6545097499999999</v>
      </c>
      <c r="J20" s="85">
        <f t="shared" si="2"/>
        <v>-1.7704902499999999</v>
      </c>
      <c r="K20" s="346" t="s">
        <v>245</v>
      </c>
      <c r="L20" s="346"/>
      <c r="M20" s="346"/>
      <c r="N20" s="346"/>
      <c r="O20" s="346"/>
      <c r="P20" s="346"/>
      <c r="Q20" s="346"/>
      <c r="R20" s="346"/>
      <c r="S20" s="346"/>
      <c r="T20" s="346"/>
      <c r="U20" s="346"/>
      <c r="V20" s="346"/>
      <c r="W20" s="346"/>
      <c r="X20" s="346"/>
      <c r="Y20" s="346"/>
      <c r="Z20" s="346"/>
      <c r="AA20" s="346"/>
      <c r="AB20" s="346"/>
      <c r="AC20" s="346"/>
      <c r="AD20" s="346"/>
      <c r="AE20" s="346"/>
    </row>
    <row r="21" spans="2:31" s="128" customFormat="1" ht="13.15" customHeight="1">
      <c r="B21" s="142" t="s">
        <v>141</v>
      </c>
      <c r="C21" s="142" t="s">
        <v>67</v>
      </c>
      <c r="D21" s="315">
        <v>1</v>
      </c>
      <c r="E21" s="144" t="s">
        <v>60</v>
      </c>
      <c r="F21" s="99">
        <f>SUM(G21)</f>
        <v>12.1</v>
      </c>
      <c r="G21" s="84">
        <f t="shared" si="0"/>
        <v>12.1</v>
      </c>
      <c r="H21" s="99">
        <f>SUM(I21)</f>
        <v>6.6169691200000003</v>
      </c>
      <c r="I21" s="84">
        <f t="shared" si="1"/>
        <v>6.6169691200000003</v>
      </c>
      <c r="J21" s="85">
        <f t="shared" si="2"/>
        <v>-5.4830308799999994</v>
      </c>
      <c r="K21" s="346" t="s">
        <v>246</v>
      </c>
      <c r="L21" s="346"/>
      <c r="M21" s="346"/>
      <c r="N21" s="346"/>
      <c r="O21" s="346"/>
      <c r="P21" s="346"/>
      <c r="Q21" s="346"/>
      <c r="R21" s="346"/>
      <c r="S21" s="346"/>
      <c r="T21" s="346"/>
      <c r="U21" s="346"/>
      <c r="V21" s="346"/>
      <c r="W21" s="346"/>
      <c r="X21" s="346"/>
      <c r="Y21" s="346"/>
      <c r="Z21" s="346"/>
      <c r="AA21" s="346"/>
      <c r="AB21" s="346"/>
      <c r="AC21" s="346"/>
      <c r="AD21" s="346"/>
      <c r="AE21" s="346"/>
    </row>
    <row r="22" spans="2:31" s="128" customFormat="1" ht="13.9" customHeight="1">
      <c r="B22" s="142" t="s">
        <v>155</v>
      </c>
      <c r="C22" s="142" t="s">
        <v>64</v>
      </c>
      <c r="D22" s="315">
        <v>1</v>
      </c>
      <c r="E22" s="144" t="s">
        <v>60</v>
      </c>
      <c r="F22" s="99">
        <f>SUM(G22)</f>
        <v>6.1</v>
      </c>
      <c r="G22" s="84">
        <f t="shared" si="0"/>
        <v>6.1</v>
      </c>
      <c r="H22" s="99">
        <f>SUM(I22)</f>
        <v>4.4233060000000002</v>
      </c>
      <c r="I22" s="84">
        <f t="shared" si="1"/>
        <v>4.4233060000000002</v>
      </c>
      <c r="J22" s="85">
        <f t="shared" si="2"/>
        <v>-1.6766939999999995</v>
      </c>
      <c r="K22" s="346" t="s">
        <v>247</v>
      </c>
      <c r="L22" s="346"/>
      <c r="M22" s="346"/>
      <c r="N22" s="346"/>
      <c r="O22" s="346"/>
      <c r="P22" s="346"/>
      <c r="Q22" s="346"/>
      <c r="R22" s="346"/>
      <c r="S22" s="346"/>
      <c r="T22" s="346"/>
      <c r="U22" s="346"/>
      <c r="V22" s="346"/>
      <c r="W22" s="346"/>
      <c r="X22" s="346"/>
      <c r="Y22" s="346"/>
      <c r="Z22" s="346"/>
      <c r="AA22" s="346"/>
      <c r="AB22" s="346"/>
      <c r="AC22" s="346"/>
      <c r="AD22" s="346"/>
      <c r="AE22" s="346"/>
    </row>
    <row r="23" spans="2:31" s="128" customFormat="1" ht="13.15" customHeight="1">
      <c r="B23" s="142" t="s">
        <v>120</v>
      </c>
      <c r="C23" s="142" t="s">
        <v>74</v>
      </c>
      <c r="D23" s="315">
        <v>1</v>
      </c>
      <c r="E23" s="144" t="s">
        <v>60</v>
      </c>
      <c r="F23" s="99">
        <f>SUM(G23)</f>
        <v>21.36</v>
      </c>
      <c r="G23" s="84">
        <f t="shared" si="0"/>
        <v>21.36</v>
      </c>
      <c r="H23" s="99">
        <f>SUM(I23)</f>
        <v>11.002148500000001</v>
      </c>
      <c r="I23" s="84">
        <f t="shared" si="1"/>
        <v>11.002148500000001</v>
      </c>
      <c r="J23" s="85">
        <f t="shared" si="2"/>
        <v>-10.357851499999999</v>
      </c>
      <c r="K23" s="346" t="s">
        <v>248</v>
      </c>
      <c r="L23" s="346"/>
      <c r="M23" s="346"/>
      <c r="N23" s="346"/>
      <c r="O23" s="346"/>
      <c r="P23" s="346"/>
      <c r="Q23" s="346"/>
      <c r="R23" s="346"/>
      <c r="S23" s="346"/>
      <c r="T23" s="346"/>
      <c r="U23" s="346"/>
      <c r="V23" s="346"/>
      <c r="W23" s="346"/>
      <c r="X23" s="346"/>
      <c r="Y23" s="346"/>
      <c r="Z23" s="346"/>
      <c r="AA23" s="346"/>
      <c r="AB23" s="346"/>
      <c r="AC23" s="346"/>
      <c r="AD23" s="346"/>
      <c r="AE23" s="346"/>
    </row>
    <row r="24" spans="2:31" s="128" customFormat="1" ht="13.15" customHeight="1">
      <c r="B24" s="142" t="s">
        <v>125</v>
      </c>
      <c r="C24" s="142" t="s">
        <v>70</v>
      </c>
      <c r="D24" s="315">
        <v>1</v>
      </c>
      <c r="E24" s="144" t="s">
        <v>60</v>
      </c>
      <c r="F24" s="99">
        <f>SUM(G24)</f>
        <v>10.95</v>
      </c>
      <c r="G24" s="84">
        <f t="shared" si="0"/>
        <v>10.95</v>
      </c>
      <c r="H24" s="99">
        <f>SUM(I24)</f>
        <v>9.0865836000000009</v>
      </c>
      <c r="I24" s="84">
        <f t="shared" si="1"/>
        <v>9.0865836000000009</v>
      </c>
      <c r="J24" s="85">
        <f t="shared" si="2"/>
        <v>-1.8634163999999984</v>
      </c>
      <c r="K24" s="346" t="s">
        <v>249</v>
      </c>
      <c r="L24" s="346"/>
      <c r="M24" s="346"/>
      <c r="N24" s="346"/>
      <c r="O24" s="346"/>
      <c r="P24" s="346"/>
      <c r="Q24" s="346"/>
      <c r="R24" s="346"/>
      <c r="S24" s="346"/>
      <c r="T24" s="346"/>
      <c r="U24" s="346"/>
      <c r="V24" s="346"/>
      <c r="W24" s="346"/>
      <c r="X24" s="346"/>
      <c r="Y24" s="346"/>
      <c r="Z24" s="346"/>
      <c r="AA24" s="346"/>
      <c r="AB24" s="346"/>
      <c r="AC24" s="346"/>
      <c r="AD24" s="346"/>
      <c r="AE24" s="346"/>
    </row>
    <row r="25" spans="2:31" s="128" customFormat="1" ht="13.15" customHeight="1">
      <c r="B25" s="142" t="s">
        <v>118</v>
      </c>
      <c r="C25" s="142" t="s">
        <v>63</v>
      </c>
      <c r="D25" s="315">
        <v>0</v>
      </c>
      <c r="E25" s="144" t="s">
        <v>60</v>
      </c>
      <c r="F25" s="354">
        <f>SUM(G25:G27)</f>
        <v>1.35</v>
      </c>
      <c r="G25" s="84">
        <f t="shared" si="0"/>
        <v>0</v>
      </c>
      <c r="H25" s="354">
        <f>SUM(I25:I27)</f>
        <v>4.7925979999999999</v>
      </c>
      <c r="I25" s="84">
        <f t="shared" si="1"/>
        <v>0</v>
      </c>
      <c r="J25" s="85">
        <f t="shared" si="2"/>
        <v>0</v>
      </c>
      <c r="K25" s="346" t="s">
        <v>127</v>
      </c>
      <c r="L25" s="346"/>
      <c r="M25" s="346"/>
      <c r="N25" s="346"/>
      <c r="O25" s="346"/>
      <c r="P25" s="346"/>
      <c r="Q25" s="346"/>
      <c r="R25" s="346"/>
      <c r="S25" s="346"/>
      <c r="T25" s="346"/>
      <c r="U25" s="346"/>
      <c r="V25" s="346"/>
      <c r="W25" s="346"/>
      <c r="X25" s="346"/>
      <c r="Y25" s="346"/>
      <c r="Z25" s="346"/>
      <c r="AA25" s="346"/>
      <c r="AB25" s="346"/>
      <c r="AC25" s="346"/>
      <c r="AD25" s="346"/>
      <c r="AE25" s="346"/>
    </row>
    <row r="26" spans="2:31" s="128" customFormat="1" ht="13.15" customHeight="1">
      <c r="B26" s="142" t="s">
        <v>118</v>
      </c>
      <c r="C26" s="142" t="s">
        <v>68</v>
      </c>
      <c r="D26" s="315">
        <v>0</v>
      </c>
      <c r="E26" s="144" t="s">
        <v>60</v>
      </c>
      <c r="F26" s="354"/>
      <c r="G26" s="84">
        <f t="shared" si="0"/>
        <v>0</v>
      </c>
      <c r="H26" s="354"/>
      <c r="I26" s="84">
        <f t="shared" si="1"/>
        <v>0</v>
      </c>
      <c r="J26" s="85">
        <f t="shared" si="2"/>
        <v>0</v>
      </c>
      <c r="K26" s="346" t="s">
        <v>127</v>
      </c>
      <c r="L26" s="346"/>
      <c r="M26" s="346"/>
      <c r="N26" s="346"/>
      <c r="O26" s="346"/>
      <c r="P26" s="346"/>
      <c r="Q26" s="346"/>
      <c r="R26" s="346"/>
      <c r="S26" s="346"/>
      <c r="T26" s="346"/>
      <c r="U26" s="346"/>
      <c r="V26" s="346"/>
      <c r="W26" s="346"/>
      <c r="X26" s="346"/>
      <c r="Y26" s="346"/>
      <c r="Z26" s="346"/>
      <c r="AA26" s="346"/>
      <c r="AB26" s="346"/>
      <c r="AC26" s="346"/>
      <c r="AD26" s="346"/>
      <c r="AE26" s="346"/>
    </row>
    <row r="27" spans="2:31" s="128" customFormat="1" ht="13.15" customHeight="1">
      <c r="B27" s="142" t="s">
        <v>118</v>
      </c>
      <c r="C27" s="142" t="s">
        <v>70</v>
      </c>
      <c r="D27" s="315">
        <v>1</v>
      </c>
      <c r="E27" s="144" t="s">
        <v>60</v>
      </c>
      <c r="F27" s="354"/>
      <c r="G27" s="84">
        <f t="shared" si="0"/>
        <v>1.35</v>
      </c>
      <c r="H27" s="354"/>
      <c r="I27" s="84">
        <f t="shared" si="1"/>
        <v>4.7925979999999999</v>
      </c>
      <c r="J27" s="85">
        <f t="shared" si="2"/>
        <v>3.4425979999999998</v>
      </c>
      <c r="K27" s="346" t="s">
        <v>250</v>
      </c>
      <c r="L27" s="346"/>
      <c r="M27" s="346"/>
      <c r="N27" s="346"/>
      <c r="O27" s="346"/>
      <c r="P27" s="346"/>
      <c r="Q27" s="346"/>
      <c r="R27" s="346"/>
      <c r="S27" s="346"/>
      <c r="T27" s="346"/>
      <c r="U27" s="346"/>
      <c r="V27" s="346"/>
      <c r="W27" s="346"/>
      <c r="X27" s="346"/>
      <c r="Y27" s="346"/>
      <c r="Z27" s="346"/>
      <c r="AA27" s="346"/>
      <c r="AB27" s="346"/>
      <c r="AC27" s="346"/>
      <c r="AD27" s="346"/>
      <c r="AE27" s="346"/>
    </row>
    <row r="28" spans="2:31" s="128" customFormat="1" ht="13.15" customHeight="1">
      <c r="B28" s="142" t="s">
        <v>143</v>
      </c>
      <c r="C28" s="142" t="s">
        <v>67</v>
      </c>
      <c r="D28" s="315">
        <v>1</v>
      </c>
      <c r="E28" s="144" t="s">
        <v>60</v>
      </c>
      <c r="F28" s="99">
        <f>SUM(G28)</f>
        <v>0</v>
      </c>
      <c r="G28" s="84">
        <f t="shared" si="0"/>
        <v>0</v>
      </c>
      <c r="H28" s="99">
        <f>SUM(I28)</f>
        <v>5.4112139980281455</v>
      </c>
      <c r="I28" s="84">
        <f t="shared" si="1"/>
        <v>5.4112139980281455</v>
      </c>
      <c r="J28" s="85">
        <f t="shared" si="2"/>
        <v>5.4112139980281455</v>
      </c>
      <c r="K28" s="346" t="s">
        <v>251</v>
      </c>
      <c r="L28" s="346"/>
      <c r="M28" s="346"/>
      <c r="N28" s="346"/>
      <c r="O28" s="346"/>
      <c r="P28" s="346"/>
      <c r="Q28" s="346"/>
      <c r="R28" s="346"/>
      <c r="S28" s="346"/>
      <c r="T28" s="346"/>
      <c r="U28" s="346"/>
      <c r="V28" s="346"/>
      <c r="W28" s="346"/>
      <c r="X28" s="346"/>
      <c r="Y28" s="346"/>
      <c r="Z28" s="346"/>
      <c r="AA28" s="346"/>
      <c r="AB28" s="346"/>
      <c r="AC28" s="346"/>
      <c r="AD28" s="346"/>
      <c r="AE28" s="346"/>
    </row>
    <row r="29" spans="2:31" s="128" customFormat="1" ht="13.15" customHeight="1">
      <c r="B29" s="142" t="s">
        <v>110</v>
      </c>
      <c r="C29" s="142" t="s">
        <v>57</v>
      </c>
      <c r="D29" s="316">
        <v>1</v>
      </c>
      <c r="E29" s="317" t="s">
        <v>60</v>
      </c>
      <c r="F29" s="99">
        <f>SUM(G29)</f>
        <v>8.9700000000000006</v>
      </c>
      <c r="G29" s="84">
        <f t="shared" si="0"/>
        <v>8.9700000000000006</v>
      </c>
      <c r="H29" s="99">
        <f>SUM(I29)</f>
        <v>16.683499999999999</v>
      </c>
      <c r="I29" s="84">
        <f t="shared" si="1"/>
        <v>16.683499999999999</v>
      </c>
      <c r="J29" s="85">
        <f t="shared" si="2"/>
        <v>7.713499999999998</v>
      </c>
      <c r="K29" s="346" t="s">
        <v>250</v>
      </c>
      <c r="L29" s="346"/>
      <c r="M29" s="346"/>
      <c r="N29" s="346"/>
      <c r="O29" s="346"/>
      <c r="P29" s="346"/>
      <c r="Q29" s="346"/>
      <c r="R29" s="346"/>
      <c r="S29" s="346"/>
      <c r="T29" s="346"/>
      <c r="U29" s="346"/>
      <c r="V29" s="346"/>
      <c r="W29" s="346"/>
      <c r="X29" s="346"/>
      <c r="Y29" s="346"/>
      <c r="Z29" s="346"/>
      <c r="AA29" s="346"/>
      <c r="AB29" s="346"/>
      <c r="AC29" s="346"/>
      <c r="AD29" s="346"/>
      <c r="AE29" s="346"/>
    </row>
    <row r="30" spans="2:31" s="128" customFormat="1" ht="13.15" customHeight="1">
      <c r="B30" s="142" t="s">
        <v>130</v>
      </c>
      <c r="C30" s="142" t="s">
        <v>64</v>
      </c>
      <c r="D30" s="316">
        <v>0.5</v>
      </c>
      <c r="E30" s="317" t="s">
        <v>60</v>
      </c>
      <c r="F30" s="355">
        <f>SUM(G30:G31)</f>
        <v>0</v>
      </c>
      <c r="G30" s="84">
        <f t="shared" si="0"/>
        <v>0</v>
      </c>
      <c r="H30" s="355">
        <f>SUM(I30:I31)</f>
        <v>4.6362000000000005</v>
      </c>
      <c r="I30" s="84">
        <f t="shared" si="1"/>
        <v>2.3181000000000003</v>
      </c>
      <c r="J30" s="85">
        <f t="shared" ref="J30:J36" si="3">I30-G30</f>
        <v>2.3181000000000003</v>
      </c>
      <c r="K30" s="347" t="s">
        <v>252</v>
      </c>
      <c r="L30" s="348"/>
      <c r="M30" s="348"/>
      <c r="N30" s="348"/>
      <c r="O30" s="348"/>
      <c r="P30" s="348"/>
      <c r="Q30" s="348"/>
      <c r="R30" s="348"/>
      <c r="S30" s="348"/>
      <c r="T30" s="348"/>
      <c r="U30" s="348"/>
      <c r="V30" s="348"/>
      <c r="W30" s="348"/>
      <c r="X30" s="348"/>
      <c r="Y30" s="348"/>
      <c r="Z30" s="348"/>
      <c r="AA30" s="348"/>
      <c r="AB30" s="348"/>
      <c r="AC30" s="348"/>
      <c r="AD30" s="348"/>
      <c r="AE30" s="349"/>
    </row>
    <row r="31" spans="2:31" s="128" customFormat="1" ht="13.15" customHeight="1">
      <c r="B31" s="142" t="s">
        <v>130</v>
      </c>
      <c r="C31" s="142" t="s">
        <v>70</v>
      </c>
      <c r="D31" s="316">
        <v>0.5</v>
      </c>
      <c r="E31" s="317" t="s">
        <v>60</v>
      </c>
      <c r="F31" s="356"/>
      <c r="G31" s="84">
        <f t="shared" si="0"/>
        <v>0</v>
      </c>
      <c r="H31" s="356"/>
      <c r="I31" s="84">
        <f t="shared" si="1"/>
        <v>2.3181000000000003</v>
      </c>
      <c r="J31" s="85">
        <f t="shared" si="3"/>
        <v>2.3181000000000003</v>
      </c>
      <c r="K31" s="347" t="s">
        <v>252</v>
      </c>
      <c r="L31" s="348"/>
      <c r="M31" s="348"/>
      <c r="N31" s="348"/>
      <c r="O31" s="348"/>
      <c r="P31" s="348"/>
      <c r="Q31" s="348"/>
      <c r="R31" s="348"/>
      <c r="S31" s="348"/>
      <c r="T31" s="348"/>
      <c r="U31" s="348"/>
      <c r="V31" s="348"/>
      <c r="W31" s="348"/>
      <c r="X31" s="348"/>
      <c r="Y31" s="348"/>
      <c r="Z31" s="348"/>
      <c r="AA31" s="348"/>
      <c r="AB31" s="348"/>
      <c r="AC31" s="348"/>
      <c r="AD31" s="348"/>
      <c r="AE31" s="349"/>
    </row>
    <row r="32" spans="2:31" s="128" customFormat="1" ht="13.15" customHeight="1">
      <c r="B32" s="142" t="s">
        <v>128</v>
      </c>
      <c r="C32" s="142" t="s">
        <v>64</v>
      </c>
      <c r="D32" s="316">
        <v>1</v>
      </c>
      <c r="E32" s="317" t="s">
        <v>60</v>
      </c>
      <c r="F32" s="99">
        <f>SUM(G32)</f>
        <v>0</v>
      </c>
      <c r="G32" s="84">
        <f t="shared" si="0"/>
        <v>0</v>
      </c>
      <c r="H32" s="99">
        <f>SUM(I32)</f>
        <v>4.5735000000000001</v>
      </c>
      <c r="I32" s="84">
        <f t="shared" si="1"/>
        <v>4.5735000000000001</v>
      </c>
      <c r="J32" s="85">
        <f t="shared" si="3"/>
        <v>4.5735000000000001</v>
      </c>
      <c r="K32" s="347" t="s">
        <v>252</v>
      </c>
      <c r="L32" s="348"/>
      <c r="M32" s="348"/>
      <c r="N32" s="348"/>
      <c r="O32" s="348"/>
      <c r="P32" s="348"/>
      <c r="Q32" s="348"/>
      <c r="R32" s="348"/>
      <c r="S32" s="348"/>
      <c r="T32" s="348"/>
      <c r="U32" s="348"/>
      <c r="V32" s="348"/>
      <c r="W32" s="348"/>
      <c r="X32" s="348"/>
      <c r="Y32" s="348"/>
      <c r="Z32" s="348"/>
      <c r="AA32" s="348"/>
      <c r="AB32" s="348"/>
      <c r="AC32" s="348"/>
      <c r="AD32" s="348"/>
      <c r="AE32" s="349"/>
    </row>
    <row r="33" spans="2:31" s="128" customFormat="1" ht="13.15" customHeight="1">
      <c r="B33" s="142" t="s">
        <v>153</v>
      </c>
      <c r="C33" s="142" t="s">
        <v>74</v>
      </c>
      <c r="D33" s="316">
        <v>1</v>
      </c>
      <c r="E33" s="317" t="s">
        <v>60</v>
      </c>
      <c r="F33" s="99">
        <f>SUM(G33)</f>
        <v>0</v>
      </c>
      <c r="G33" s="84">
        <f t="shared" si="0"/>
        <v>0</v>
      </c>
      <c r="H33" s="99">
        <f>SUM(I33)</f>
        <v>4.1538500000000003</v>
      </c>
      <c r="I33" s="84">
        <f t="shared" si="1"/>
        <v>4.1538500000000003</v>
      </c>
      <c r="J33" s="85">
        <f t="shared" si="3"/>
        <v>4.1538500000000003</v>
      </c>
      <c r="K33" s="347" t="s">
        <v>252</v>
      </c>
      <c r="L33" s="348"/>
      <c r="M33" s="348"/>
      <c r="N33" s="348"/>
      <c r="O33" s="348"/>
      <c r="P33" s="348"/>
      <c r="Q33" s="348"/>
      <c r="R33" s="348"/>
      <c r="S33" s="348"/>
      <c r="T33" s="348"/>
      <c r="U33" s="348"/>
      <c r="V33" s="348"/>
      <c r="W33" s="348"/>
      <c r="X33" s="348"/>
      <c r="Y33" s="348"/>
      <c r="Z33" s="348"/>
      <c r="AA33" s="348"/>
      <c r="AB33" s="348"/>
      <c r="AC33" s="348"/>
      <c r="AD33" s="348"/>
      <c r="AE33" s="349"/>
    </row>
    <row r="34" spans="2:31" s="128" customFormat="1" ht="13.15" customHeight="1">
      <c r="B34" s="142" t="s">
        <v>151</v>
      </c>
      <c r="C34" s="142" t="s">
        <v>63</v>
      </c>
      <c r="D34" s="316">
        <v>1</v>
      </c>
      <c r="E34" s="317" t="s">
        <v>60</v>
      </c>
      <c r="F34" s="99">
        <f>SUM(G34)</f>
        <v>0</v>
      </c>
      <c r="G34" s="84">
        <f t="shared" si="0"/>
        <v>0</v>
      </c>
      <c r="H34" s="99">
        <f>SUM(I34)</f>
        <v>5.1388999999999996</v>
      </c>
      <c r="I34" s="84">
        <f t="shared" si="1"/>
        <v>5.1388999999999996</v>
      </c>
      <c r="J34" s="85">
        <f t="shared" si="3"/>
        <v>5.1388999999999996</v>
      </c>
      <c r="K34" s="347" t="s">
        <v>252</v>
      </c>
      <c r="L34" s="348"/>
      <c r="M34" s="348"/>
      <c r="N34" s="348"/>
      <c r="O34" s="348"/>
      <c r="P34" s="348"/>
      <c r="Q34" s="348"/>
      <c r="R34" s="348"/>
      <c r="S34" s="348"/>
      <c r="T34" s="348"/>
      <c r="U34" s="348"/>
      <c r="V34" s="348"/>
      <c r="W34" s="348"/>
      <c r="X34" s="348"/>
      <c r="Y34" s="348"/>
      <c r="Z34" s="348"/>
      <c r="AA34" s="348"/>
      <c r="AB34" s="348"/>
      <c r="AC34" s="348"/>
      <c r="AD34" s="348"/>
      <c r="AE34" s="349"/>
    </row>
    <row r="35" spans="2:31" s="128" customFormat="1" ht="13.15" customHeight="1">
      <c r="B35" s="142" t="s">
        <v>149</v>
      </c>
      <c r="C35" s="142" t="s">
        <v>57</v>
      </c>
      <c r="D35" s="315">
        <v>1</v>
      </c>
      <c r="E35" s="144" t="s">
        <v>60</v>
      </c>
      <c r="F35" s="99">
        <f>SUM(G35)</f>
        <v>0</v>
      </c>
      <c r="G35" s="84">
        <f t="shared" si="0"/>
        <v>0</v>
      </c>
      <c r="H35" s="99">
        <f>SUM(I35)</f>
        <v>16.255737499999999</v>
      </c>
      <c r="I35" s="84">
        <f t="shared" si="1"/>
        <v>16.255737499999999</v>
      </c>
      <c r="J35" s="85">
        <f t="shared" si="3"/>
        <v>16.255737499999999</v>
      </c>
      <c r="K35" s="347" t="s">
        <v>253</v>
      </c>
      <c r="L35" s="348"/>
      <c r="M35" s="348"/>
      <c r="N35" s="348"/>
      <c r="O35" s="348"/>
      <c r="P35" s="348"/>
      <c r="Q35" s="348"/>
      <c r="R35" s="348"/>
      <c r="S35" s="348"/>
      <c r="T35" s="348"/>
      <c r="U35" s="348"/>
      <c r="V35" s="348"/>
      <c r="W35" s="348"/>
      <c r="X35" s="348"/>
      <c r="Y35" s="348"/>
      <c r="Z35" s="348"/>
      <c r="AA35" s="348"/>
      <c r="AB35" s="348"/>
      <c r="AC35" s="348"/>
      <c r="AD35" s="348"/>
      <c r="AE35" s="349"/>
    </row>
    <row r="36" spans="2:31" s="128" customFormat="1" ht="13.15" customHeight="1">
      <c r="B36" s="142" t="s">
        <v>144</v>
      </c>
      <c r="C36" s="142" t="s">
        <v>68</v>
      </c>
      <c r="D36" s="315">
        <v>1</v>
      </c>
      <c r="E36" s="144" t="s">
        <v>60</v>
      </c>
      <c r="F36" s="99">
        <f>SUM(G36)</f>
        <v>10.94</v>
      </c>
      <c r="G36" s="84">
        <f t="shared" si="0"/>
        <v>10.94</v>
      </c>
      <c r="H36" s="99">
        <f>SUM(I36)</f>
        <v>10.91037</v>
      </c>
      <c r="I36" s="84">
        <f t="shared" si="1"/>
        <v>10.91037</v>
      </c>
      <c r="J36" s="85">
        <f t="shared" si="3"/>
        <v>-2.9629999999999157E-2</v>
      </c>
      <c r="K36" s="346" t="s">
        <v>247</v>
      </c>
      <c r="L36" s="346"/>
      <c r="M36" s="346"/>
      <c r="N36" s="346"/>
      <c r="O36" s="346"/>
      <c r="P36" s="346"/>
      <c r="Q36" s="346"/>
      <c r="R36" s="346"/>
      <c r="S36" s="346"/>
      <c r="T36" s="346"/>
      <c r="U36" s="346"/>
      <c r="V36" s="346"/>
      <c r="W36" s="346"/>
      <c r="X36" s="346"/>
      <c r="Y36" s="346"/>
      <c r="Z36" s="346"/>
      <c r="AA36" s="346"/>
      <c r="AB36" s="346"/>
      <c r="AC36" s="346"/>
      <c r="AD36" s="346"/>
      <c r="AE36" s="346"/>
    </row>
    <row r="37" spans="2:31" s="128" customFormat="1">
      <c r="G37" s="270"/>
      <c r="H37" s="270"/>
      <c r="I37" s="270"/>
      <c r="J37" s="318"/>
      <c r="K37" s="319"/>
    </row>
    <row r="38" spans="2:31" s="320" customFormat="1" ht="13.15">
      <c r="B38" s="96" t="s">
        <v>254</v>
      </c>
      <c r="G38" s="321"/>
      <c r="H38" s="321"/>
      <c r="I38" s="321"/>
      <c r="J38" s="322"/>
      <c r="K38" s="323"/>
    </row>
    <row r="39" spans="2:31" s="128" customFormat="1">
      <c r="G39" s="270"/>
      <c r="H39" s="270"/>
      <c r="I39" s="270"/>
      <c r="J39" s="318"/>
      <c r="K39" s="319"/>
    </row>
    <row r="40" spans="2:31" s="128" customFormat="1" ht="13.15">
      <c r="B40" s="142" t="s">
        <v>102</v>
      </c>
      <c r="C40" s="142" t="s">
        <v>71</v>
      </c>
      <c r="D40" s="315">
        <v>0.15</v>
      </c>
      <c r="E40" s="144" t="s">
        <v>60</v>
      </c>
      <c r="F40" s="339">
        <v>77.807057999776802</v>
      </c>
      <c r="G40" s="180">
        <f>F40*D40</f>
        <v>11.671058699966521</v>
      </c>
      <c r="H40" s="342">
        <v>77.807057999776802</v>
      </c>
      <c r="I40" s="181">
        <f>H40*D40</f>
        <v>11.671058699966521</v>
      </c>
      <c r="J40" s="85">
        <f>I40-G40</f>
        <v>0</v>
      </c>
      <c r="K40" s="346" t="s">
        <v>255</v>
      </c>
      <c r="L40" s="346"/>
      <c r="M40" s="346"/>
      <c r="N40" s="346"/>
      <c r="O40" s="346"/>
      <c r="P40" s="346"/>
      <c r="Q40" s="346"/>
      <c r="R40" s="346"/>
      <c r="S40" s="346"/>
      <c r="T40" s="346"/>
      <c r="U40" s="346"/>
      <c r="V40" s="346"/>
      <c r="W40" s="346"/>
      <c r="X40" s="346"/>
      <c r="Y40" s="346"/>
      <c r="Z40" s="346"/>
      <c r="AA40" s="346"/>
      <c r="AB40" s="346"/>
      <c r="AC40" s="346"/>
      <c r="AD40" s="346"/>
      <c r="AE40" s="346"/>
    </row>
    <row r="41" spans="2:31" s="128" customFormat="1" ht="13.15">
      <c r="B41" s="142" t="s">
        <v>102</v>
      </c>
      <c r="C41" s="142" t="s">
        <v>66</v>
      </c>
      <c r="D41" s="315">
        <v>0.3</v>
      </c>
      <c r="E41" s="144" t="s">
        <v>60</v>
      </c>
      <c r="F41" s="340"/>
      <c r="G41" s="180">
        <f>F40*D41</f>
        <v>23.342117399933041</v>
      </c>
      <c r="H41" s="343"/>
      <c r="I41" s="181">
        <f>H40*D41</f>
        <v>23.342117399933041</v>
      </c>
      <c r="J41" s="85">
        <f>I41-G41</f>
        <v>0</v>
      </c>
      <c r="K41" s="346" t="s">
        <v>255</v>
      </c>
      <c r="L41" s="346"/>
      <c r="M41" s="346"/>
      <c r="N41" s="346"/>
      <c r="O41" s="346"/>
      <c r="P41" s="346"/>
      <c r="Q41" s="346"/>
      <c r="R41" s="346"/>
      <c r="S41" s="346"/>
      <c r="T41" s="346"/>
      <c r="U41" s="346"/>
      <c r="V41" s="346"/>
      <c r="W41" s="346"/>
      <c r="X41" s="346"/>
      <c r="Y41" s="346"/>
      <c r="Z41" s="346"/>
      <c r="AA41" s="346"/>
      <c r="AB41" s="346"/>
      <c r="AC41" s="346"/>
      <c r="AD41" s="346"/>
      <c r="AE41" s="346"/>
    </row>
    <row r="42" spans="2:31" s="128" customFormat="1" ht="13.15">
      <c r="B42" s="142" t="s">
        <v>102</v>
      </c>
      <c r="C42" s="142" t="s">
        <v>67</v>
      </c>
      <c r="D42" s="315">
        <v>0.55000000000000004</v>
      </c>
      <c r="E42" s="144" t="s">
        <v>60</v>
      </c>
      <c r="F42" s="341"/>
      <c r="G42" s="180">
        <f>F40*D42</f>
        <v>42.793881899877242</v>
      </c>
      <c r="H42" s="344"/>
      <c r="I42" s="181">
        <f>H40*D42</f>
        <v>42.793881899877242</v>
      </c>
      <c r="J42" s="85">
        <f>I42-G42</f>
        <v>0</v>
      </c>
      <c r="K42" s="346" t="s">
        <v>255</v>
      </c>
      <c r="L42" s="346"/>
      <c r="M42" s="346"/>
      <c r="N42" s="346"/>
      <c r="O42" s="346"/>
      <c r="P42" s="346"/>
      <c r="Q42" s="346"/>
      <c r="R42" s="346"/>
      <c r="S42" s="346"/>
      <c r="T42" s="346"/>
      <c r="U42" s="346"/>
      <c r="V42" s="346"/>
      <c r="W42" s="346"/>
      <c r="X42" s="346"/>
      <c r="Y42" s="346"/>
      <c r="Z42" s="346"/>
      <c r="AA42" s="346"/>
      <c r="AB42" s="346"/>
      <c r="AC42" s="346"/>
      <c r="AD42" s="346"/>
      <c r="AE42" s="346"/>
    </row>
    <row r="43" spans="2:31" s="128" customFormat="1" ht="13.15">
      <c r="B43" s="142" t="s">
        <v>117</v>
      </c>
      <c r="C43" s="142" t="s">
        <v>57</v>
      </c>
      <c r="D43" s="315">
        <v>1</v>
      </c>
      <c r="E43" s="144" t="s">
        <v>60</v>
      </c>
      <c r="F43" s="169">
        <v>116.46755022949</v>
      </c>
      <c r="G43" s="180">
        <f>F43*D43</f>
        <v>116.46755022949</v>
      </c>
      <c r="H43" s="182">
        <v>116.46755022949</v>
      </c>
      <c r="I43" s="84">
        <f>H43*D43</f>
        <v>116.46755022949</v>
      </c>
      <c r="J43" s="85">
        <f>I43-G43</f>
        <v>0</v>
      </c>
      <c r="K43" s="346" t="s">
        <v>255</v>
      </c>
      <c r="L43" s="346"/>
      <c r="M43" s="346"/>
      <c r="N43" s="346"/>
      <c r="O43" s="346"/>
      <c r="P43" s="346"/>
      <c r="Q43" s="346"/>
      <c r="R43" s="346"/>
      <c r="S43" s="346"/>
      <c r="T43" s="346"/>
      <c r="U43" s="346"/>
      <c r="V43" s="346"/>
      <c r="W43" s="346"/>
      <c r="X43" s="346"/>
      <c r="Y43" s="346"/>
      <c r="Z43" s="346"/>
      <c r="AA43" s="346"/>
      <c r="AB43" s="346"/>
      <c r="AC43" s="346"/>
      <c r="AD43" s="346"/>
      <c r="AE43" s="346"/>
    </row>
    <row r="44" spans="2:31" s="128" customFormat="1" ht="13.15">
      <c r="B44" s="142" t="s">
        <v>256</v>
      </c>
      <c r="C44" s="142" t="s">
        <v>57</v>
      </c>
      <c r="D44" s="315">
        <v>1</v>
      </c>
      <c r="E44" s="144" t="s">
        <v>60</v>
      </c>
      <c r="F44" s="90">
        <v>0</v>
      </c>
      <c r="G44" s="84">
        <f>F44*D44</f>
        <v>0</v>
      </c>
      <c r="H44" s="84">
        <v>0</v>
      </c>
      <c r="I44" s="84">
        <f>H44*D44</f>
        <v>0</v>
      </c>
      <c r="J44" s="85">
        <f>I44-G44</f>
        <v>0</v>
      </c>
      <c r="K44" s="346" t="s">
        <v>127</v>
      </c>
      <c r="L44" s="346"/>
      <c r="M44" s="346"/>
      <c r="N44" s="346"/>
      <c r="O44" s="346"/>
      <c r="P44" s="346"/>
      <c r="Q44" s="346"/>
      <c r="R44" s="346"/>
      <c r="S44" s="346"/>
      <c r="T44" s="346"/>
      <c r="U44" s="346"/>
      <c r="V44" s="346"/>
      <c r="W44" s="346"/>
      <c r="X44" s="346"/>
      <c r="Y44" s="346"/>
      <c r="Z44" s="346"/>
      <c r="AA44" s="346"/>
      <c r="AB44" s="346"/>
      <c r="AC44" s="346"/>
      <c r="AD44" s="346"/>
      <c r="AE44" s="346"/>
    </row>
    <row r="45" spans="2:31">
      <c r="G45" s="29"/>
      <c r="H45" s="29"/>
      <c r="I45" s="29"/>
      <c r="J45" s="35"/>
      <c r="K45" s="36"/>
    </row>
    <row r="46" spans="2:31" s="96" customFormat="1" ht="13.15">
      <c r="B46" s="97" t="s">
        <v>257</v>
      </c>
      <c r="C46" s="97"/>
      <c r="D46" s="97"/>
      <c r="E46" s="97"/>
      <c r="F46" s="97"/>
      <c r="G46" s="97"/>
      <c r="H46" s="97"/>
      <c r="I46" s="97"/>
      <c r="J46" s="97"/>
      <c r="K46" s="97"/>
      <c r="L46" s="97"/>
      <c r="M46" s="97"/>
      <c r="N46" s="97"/>
      <c r="O46" s="97"/>
      <c r="P46" s="97"/>
    </row>
    <row r="47" spans="2:31" ht="13.15">
      <c r="B47" s="1"/>
      <c r="C47" s="1"/>
      <c r="D47" s="1"/>
      <c r="E47" s="1"/>
      <c r="F47" s="1"/>
      <c r="G47" s="1"/>
      <c r="H47" s="1"/>
      <c r="I47" s="1"/>
      <c r="J47" s="1"/>
      <c r="K47" s="1"/>
      <c r="L47" s="1"/>
      <c r="M47" s="1"/>
      <c r="N47" s="1"/>
      <c r="O47" s="1"/>
      <c r="P47" s="1"/>
    </row>
    <row r="48" spans="2:31" s="128" customFormat="1" ht="13.15" customHeight="1">
      <c r="B48" s="263"/>
      <c r="C48" s="263"/>
      <c r="D48" s="263"/>
      <c r="E48" s="232" t="s">
        <v>175</v>
      </c>
      <c r="F48" s="232" t="s">
        <v>175</v>
      </c>
      <c r="G48" s="232" t="s">
        <v>175</v>
      </c>
      <c r="H48" s="232" t="s">
        <v>175</v>
      </c>
      <c r="I48" s="328" t="s">
        <v>175</v>
      </c>
      <c r="J48" s="350"/>
      <c r="K48" s="329"/>
      <c r="L48" s="345" t="s">
        <v>258</v>
      </c>
      <c r="M48" s="345"/>
      <c r="N48" s="345"/>
      <c r="O48" s="351" t="s">
        <v>175</v>
      </c>
      <c r="P48" s="351"/>
      <c r="Q48" s="351"/>
      <c r="R48" s="351"/>
    </row>
    <row r="49" spans="2:18" s="128" customFormat="1" ht="13.15">
      <c r="B49" s="263"/>
      <c r="C49" s="263"/>
      <c r="D49" s="263"/>
      <c r="E49" s="294" t="s">
        <v>259</v>
      </c>
      <c r="F49" s="294" t="s">
        <v>259</v>
      </c>
      <c r="G49" s="295" t="s">
        <v>179</v>
      </c>
      <c r="H49" s="295" t="s">
        <v>260</v>
      </c>
      <c r="I49" s="357" t="s">
        <v>261</v>
      </c>
      <c r="J49" s="357"/>
      <c r="K49" s="357"/>
      <c r="L49" s="296">
        <v>0.4</v>
      </c>
      <c r="M49" s="296">
        <v>0.4</v>
      </c>
      <c r="N49" s="296">
        <v>0.2</v>
      </c>
      <c r="O49" s="351" t="s">
        <v>261</v>
      </c>
      <c r="P49" s="351"/>
      <c r="Q49" s="351"/>
      <c r="R49" s="351"/>
    </row>
    <row r="50" spans="2:18" s="27" customFormat="1" ht="26.25">
      <c r="B50" s="79" t="s">
        <v>180</v>
      </c>
      <c r="C50" s="80" t="s">
        <v>181</v>
      </c>
      <c r="D50" s="80" t="s">
        <v>82</v>
      </c>
      <c r="E50" s="135" t="s">
        <v>183</v>
      </c>
      <c r="F50" s="81" t="s">
        <v>262</v>
      </c>
      <c r="G50" s="80" t="s">
        <v>263</v>
      </c>
      <c r="H50" s="81" t="s">
        <v>264</v>
      </c>
      <c r="I50" s="81" t="s">
        <v>265</v>
      </c>
      <c r="J50" s="81" t="s">
        <v>266</v>
      </c>
      <c r="K50" s="82" t="s">
        <v>267</v>
      </c>
      <c r="L50" s="83" t="s">
        <v>268</v>
      </c>
      <c r="M50" s="138" t="s">
        <v>269</v>
      </c>
      <c r="N50" s="124" t="s">
        <v>270</v>
      </c>
      <c r="O50" s="139" t="s">
        <v>271</v>
      </c>
      <c r="P50" s="83" t="s">
        <v>272</v>
      </c>
      <c r="Q50" s="140" t="s">
        <v>191</v>
      </c>
      <c r="R50" s="135" t="s">
        <v>273</v>
      </c>
    </row>
    <row r="51" spans="2:18" s="128" customFormat="1" ht="13.15">
      <c r="B51" s="142" t="s">
        <v>122</v>
      </c>
      <c r="C51" s="40" t="s">
        <v>212</v>
      </c>
      <c r="D51" s="142" t="s">
        <v>60</v>
      </c>
      <c r="E51" s="297">
        <f>_xlfn.XLOOKUP($B51,'Development Cost Calculations'!$B$9:$B$36,'Development Cost Calculations'!$F$9:$F$36,0,0)</f>
        <v>1536.7449999999999</v>
      </c>
      <c r="F51" s="84">
        <v>16.646000000000001</v>
      </c>
      <c r="G51" s="298">
        <f>E51+(F51*$C$76)</f>
        <v>1952.895</v>
      </c>
      <c r="H51" s="299">
        <v>0</v>
      </c>
      <c r="I51" s="300">
        <v>9</v>
      </c>
      <c r="J51" s="301">
        <f>G51*$C$75</f>
        <v>10.7409225</v>
      </c>
      <c r="K51" s="229">
        <f>SUM(I51,J51)</f>
        <v>19.7409225</v>
      </c>
      <c r="L51" s="302" t="s">
        <v>113</v>
      </c>
      <c r="M51" s="302" t="s">
        <v>105</v>
      </c>
      <c r="N51" s="302" t="s">
        <v>105</v>
      </c>
      <c r="O51" s="303">
        <v>0.4</v>
      </c>
      <c r="P51" s="304">
        <f>O51*K51</f>
        <v>7.896369</v>
      </c>
      <c r="Q51" s="305">
        <v>0</v>
      </c>
      <c r="R51" s="306">
        <f>P51+Q51</f>
        <v>7.896369</v>
      </c>
    </row>
    <row r="52" spans="2:18" s="128" customFormat="1" ht="13.15">
      <c r="B52" s="142" t="s">
        <v>138</v>
      </c>
      <c r="C52" s="40" t="s">
        <v>66</v>
      </c>
      <c r="D52" s="142" t="s">
        <v>60</v>
      </c>
      <c r="E52" s="297">
        <f>_xlfn.XLOOKUP($B52,'Development Cost Calculations'!$B$9:$B$36,'Development Cost Calculations'!$F$9:$F$36,0,0)</f>
        <v>1236.3109999999999</v>
      </c>
      <c r="F52" s="84">
        <v>26.262</v>
      </c>
      <c r="G52" s="298">
        <f t="shared" ref="G52:G72" si="4">E52+(F52*$C$76)</f>
        <v>1892.8609999999999</v>
      </c>
      <c r="H52" s="299">
        <v>8.36</v>
      </c>
      <c r="I52" s="300">
        <v>9</v>
      </c>
      <c r="J52" s="301">
        <f t="shared" ref="J52:J72" si="5">G52*$C$75</f>
        <v>10.410735499999999</v>
      </c>
      <c r="K52" s="229">
        <f t="shared" ref="K52:K72" si="6">SUM(I52,J52)</f>
        <v>19.410735500000001</v>
      </c>
      <c r="L52" s="302" t="s">
        <v>113</v>
      </c>
      <c r="M52" s="302" t="s">
        <v>113</v>
      </c>
      <c r="N52" s="302" t="s">
        <v>113</v>
      </c>
      <c r="O52" s="303">
        <v>1</v>
      </c>
      <c r="P52" s="304">
        <f t="shared" ref="P52:P72" si="7">O52*K52</f>
        <v>19.410735500000001</v>
      </c>
      <c r="Q52" s="305">
        <v>-4</v>
      </c>
      <c r="R52" s="306">
        <f t="shared" ref="R52:R72" si="8">P52+Q52</f>
        <v>15.410735500000001</v>
      </c>
    </row>
    <row r="53" spans="2:18" s="128" customFormat="1" ht="13.15">
      <c r="B53" s="142" t="s">
        <v>114</v>
      </c>
      <c r="C53" s="40" t="s">
        <v>57</v>
      </c>
      <c r="D53" s="142" t="s">
        <v>60</v>
      </c>
      <c r="E53" s="297">
        <f>_xlfn.XLOOKUP($B53,'Development Cost Calculations'!$B$9:$B$36,'Development Cost Calculations'!$F$9:$F$36,0,0)</f>
        <v>174</v>
      </c>
      <c r="F53" s="84">
        <v>2.4300000000000002</v>
      </c>
      <c r="G53" s="298">
        <f t="shared" si="4"/>
        <v>234.75</v>
      </c>
      <c r="H53" s="299">
        <v>0</v>
      </c>
      <c r="I53" s="300">
        <v>9</v>
      </c>
      <c r="J53" s="301">
        <f t="shared" si="5"/>
        <v>1.2911249999999999</v>
      </c>
      <c r="K53" s="229">
        <f t="shared" si="6"/>
        <v>10.291124999999999</v>
      </c>
      <c r="L53" s="302" t="s">
        <v>105</v>
      </c>
      <c r="M53" s="302" t="s">
        <v>105</v>
      </c>
      <c r="N53" s="302" t="s">
        <v>105</v>
      </c>
      <c r="O53" s="303">
        <v>0</v>
      </c>
      <c r="P53" s="304">
        <f t="shared" si="7"/>
        <v>0</v>
      </c>
      <c r="Q53" s="305">
        <v>0</v>
      </c>
      <c r="R53" s="306">
        <f t="shared" si="8"/>
        <v>0</v>
      </c>
    </row>
    <row r="54" spans="2:18" s="128" customFormat="1" ht="13.15">
      <c r="B54" s="142" t="s">
        <v>109</v>
      </c>
      <c r="C54" s="40" t="s">
        <v>71</v>
      </c>
      <c r="D54" s="142" t="s">
        <v>60</v>
      </c>
      <c r="E54" s="297">
        <f>_xlfn.XLOOKUP($B54,'Development Cost Calculations'!$B$9:$B$36,'Development Cost Calculations'!$F$9:$F$36,0,0)</f>
        <v>401.72</v>
      </c>
      <c r="F54" s="84">
        <v>1.8180000000000001</v>
      </c>
      <c r="G54" s="298">
        <f t="shared" si="4"/>
        <v>447.17</v>
      </c>
      <c r="H54" s="299">
        <v>0</v>
      </c>
      <c r="I54" s="300">
        <v>9</v>
      </c>
      <c r="J54" s="301">
        <f t="shared" si="5"/>
        <v>2.459435</v>
      </c>
      <c r="K54" s="229">
        <f t="shared" si="6"/>
        <v>11.459434999999999</v>
      </c>
      <c r="L54" s="302" t="s">
        <v>105</v>
      </c>
      <c r="M54" s="302" t="s">
        <v>105</v>
      </c>
      <c r="N54" s="302" t="s">
        <v>105</v>
      </c>
      <c r="O54" s="303">
        <v>0</v>
      </c>
      <c r="P54" s="304">
        <f t="shared" si="7"/>
        <v>0</v>
      </c>
      <c r="Q54" s="305">
        <v>0</v>
      </c>
      <c r="R54" s="306">
        <f t="shared" si="8"/>
        <v>0</v>
      </c>
    </row>
    <row r="55" spans="2:18" s="128" customFormat="1" ht="13.15">
      <c r="B55" s="142" t="s">
        <v>134</v>
      </c>
      <c r="C55" s="40" t="s">
        <v>200</v>
      </c>
      <c r="D55" s="142" t="s">
        <v>60</v>
      </c>
      <c r="E55" s="297">
        <f>_xlfn.XLOOKUP($B55,'Development Cost Calculations'!$B$9:$B$36,'Development Cost Calculations'!$F$9:$F$36,0,0)</f>
        <v>1218.248</v>
      </c>
      <c r="F55" s="84">
        <v>17.53</v>
      </c>
      <c r="G55" s="298">
        <f t="shared" si="4"/>
        <v>1656.498</v>
      </c>
      <c r="H55" s="299">
        <v>13.1</v>
      </c>
      <c r="I55" s="300">
        <v>9</v>
      </c>
      <c r="J55" s="301">
        <f t="shared" si="5"/>
        <v>9.1107390000000006</v>
      </c>
      <c r="K55" s="229">
        <f t="shared" si="6"/>
        <v>18.110739000000002</v>
      </c>
      <c r="L55" s="302" t="s">
        <v>113</v>
      </c>
      <c r="M55" s="302" t="s">
        <v>105</v>
      </c>
      <c r="N55" s="302" t="s">
        <v>105</v>
      </c>
      <c r="O55" s="303">
        <v>0.4</v>
      </c>
      <c r="P55" s="304">
        <f t="shared" si="7"/>
        <v>7.2442956000000009</v>
      </c>
      <c r="Q55" s="305">
        <v>0</v>
      </c>
      <c r="R55" s="306">
        <f t="shared" si="8"/>
        <v>7.2442956000000009</v>
      </c>
    </row>
    <row r="56" spans="2:18" s="128" customFormat="1" ht="13.15">
      <c r="B56" s="142" t="s">
        <v>133</v>
      </c>
      <c r="C56" s="40" t="s">
        <v>200</v>
      </c>
      <c r="D56" s="142" t="s">
        <v>60</v>
      </c>
      <c r="E56" s="297">
        <f>_xlfn.XLOOKUP($B56,'Development Cost Calculations'!$B$9:$B$36,'Development Cost Calculations'!$F$9:$F$36,0,0)</f>
        <v>680.35599999999999</v>
      </c>
      <c r="F56" s="84">
        <v>5.85</v>
      </c>
      <c r="G56" s="298">
        <f t="shared" si="4"/>
        <v>826.60599999999999</v>
      </c>
      <c r="H56" s="299">
        <v>10.210000000000001</v>
      </c>
      <c r="I56" s="300">
        <v>9</v>
      </c>
      <c r="J56" s="301">
        <f t="shared" si="5"/>
        <v>4.5463329999999997</v>
      </c>
      <c r="K56" s="229">
        <f t="shared" si="6"/>
        <v>13.546333000000001</v>
      </c>
      <c r="L56" s="302" t="s">
        <v>113</v>
      </c>
      <c r="M56" s="302" t="s">
        <v>113</v>
      </c>
      <c r="N56" s="302" t="s">
        <v>113</v>
      </c>
      <c r="O56" s="303">
        <v>1</v>
      </c>
      <c r="P56" s="304">
        <f t="shared" si="7"/>
        <v>13.546333000000001</v>
      </c>
      <c r="Q56" s="305">
        <v>-1.5</v>
      </c>
      <c r="R56" s="306">
        <f t="shared" si="8"/>
        <v>12.046333000000001</v>
      </c>
    </row>
    <row r="57" spans="2:18" s="128" customFormat="1" ht="13.15">
      <c r="B57" s="142" t="s">
        <v>139</v>
      </c>
      <c r="C57" s="40" t="s">
        <v>66</v>
      </c>
      <c r="D57" s="142" t="s">
        <v>60</v>
      </c>
      <c r="E57" s="297">
        <f>_xlfn.XLOOKUP($B57,'Development Cost Calculations'!$B$9:$B$36,'Development Cost Calculations'!$F$9:$F$36,0,0)</f>
        <v>1006</v>
      </c>
      <c r="F57" s="84">
        <v>19.056999999999999</v>
      </c>
      <c r="G57" s="298">
        <f t="shared" si="4"/>
        <v>1482.425</v>
      </c>
      <c r="H57" s="299">
        <v>0</v>
      </c>
      <c r="I57" s="300">
        <v>9</v>
      </c>
      <c r="J57" s="301">
        <f t="shared" si="5"/>
        <v>8.1533374999999992</v>
      </c>
      <c r="K57" s="229">
        <f t="shared" si="6"/>
        <v>17.153337499999999</v>
      </c>
      <c r="L57" s="302" t="s">
        <v>113</v>
      </c>
      <c r="M57" s="302" t="s">
        <v>113</v>
      </c>
      <c r="N57" s="302" t="s">
        <v>105</v>
      </c>
      <c r="O57" s="303">
        <v>0.8</v>
      </c>
      <c r="P57" s="304">
        <f t="shared" si="7"/>
        <v>13.722670000000001</v>
      </c>
      <c r="Q57" s="305">
        <v>-1.5</v>
      </c>
      <c r="R57" s="306">
        <f t="shared" si="8"/>
        <v>12.222670000000001</v>
      </c>
    </row>
    <row r="58" spans="2:18" s="128" customFormat="1" ht="13.15">
      <c r="B58" s="142" t="s">
        <v>131</v>
      </c>
      <c r="C58" s="40" t="s">
        <v>200</v>
      </c>
      <c r="D58" s="142" t="s">
        <v>60</v>
      </c>
      <c r="E58" s="297">
        <f>_xlfn.XLOOKUP($B58,'Development Cost Calculations'!$B$9:$B$36,'Development Cost Calculations'!$F$9:$F$36,0,0)</f>
        <v>163.16300000000001</v>
      </c>
      <c r="F58" s="84">
        <v>5.07</v>
      </c>
      <c r="G58" s="298">
        <f t="shared" si="4"/>
        <v>289.91300000000001</v>
      </c>
      <c r="H58" s="299">
        <v>9.08</v>
      </c>
      <c r="I58" s="300">
        <v>9</v>
      </c>
      <c r="J58" s="301">
        <f t="shared" si="5"/>
        <v>1.5945214999999999</v>
      </c>
      <c r="K58" s="229">
        <f t="shared" si="6"/>
        <v>10.594521499999999</v>
      </c>
      <c r="L58" s="302" t="s">
        <v>113</v>
      </c>
      <c r="M58" s="302" t="s">
        <v>113</v>
      </c>
      <c r="N58" s="302" t="s">
        <v>113</v>
      </c>
      <c r="O58" s="303">
        <v>1</v>
      </c>
      <c r="P58" s="304">
        <f t="shared" si="7"/>
        <v>10.594521499999999</v>
      </c>
      <c r="Q58" s="305">
        <v>-1.5</v>
      </c>
      <c r="R58" s="306">
        <f t="shared" si="8"/>
        <v>9.094521499999999</v>
      </c>
    </row>
    <row r="59" spans="2:18" s="128" customFormat="1" ht="13.15">
      <c r="B59" s="142" t="s">
        <v>106</v>
      </c>
      <c r="C59" s="40" t="s">
        <v>202</v>
      </c>
      <c r="D59" s="142" t="s">
        <v>60</v>
      </c>
      <c r="E59" s="297">
        <f>_xlfn.XLOOKUP($B59,'Development Cost Calculations'!$B$9:$B$36,'Development Cost Calculations'!$F$9:$F$36,0,0)</f>
        <v>466.774</v>
      </c>
      <c r="F59" s="84">
        <v>9.0310000000000006</v>
      </c>
      <c r="G59" s="298">
        <f t="shared" si="4"/>
        <v>692.54899999999998</v>
      </c>
      <c r="H59" s="299">
        <v>14.85</v>
      </c>
      <c r="I59" s="300">
        <v>9</v>
      </c>
      <c r="J59" s="301">
        <f t="shared" si="5"/>
        <v>3.8090194999999998</v>
      </c>
      <c r="K59" s="229">
        <f t="shared" si="6"/>
        <v>12.8090195</v>
      </c>
      <c r="L59" s="302" t="s">
        <v>113</v>
      </c>
      <c r="M59" s="302" t="s">
        <v>113</v>
      </c>
      <c r="N59" s="302" t="s">
        <v>113</v>
      </c>
      <c r="O59" s="303">
        <v>1</v>
      </c>
      <c r="P59" s="304">
        <f t="shared" si="7"/>
        <v>12.8090195</v>
      </c>
      <c r="Q59" s="305">
        <v>-1.5</v>
      </c>
      <c r="R59" s="306">
        <f t="shared" si="8"/>
        <v>11.3090195</v>
      </c>
    </row>
    <row r="60" spans="2:18" s="128" customFormat="1" ht="13.15">
      <c r="B60" s="142" t="s">
        <v>141</v>
      </c>
      <c r="C60" s="40" t="s">
        <v>67</v>
      </c>
      <c r="D60" s="142" t="s">
        <v>60</v>
      </c>
      <c r="E60" s="297">
        <f>_xlfn.XLOOKUP($B60,'Development Cost Calculations'!$B$9:$B$36,'Development Cost Calculations'!$F$9:$F$36,0,0)</f>
        <v>993.54960000000005</v>
      </c>
      <c r="F60" s="84">
        <v>15.112</v>
      </c>
      <c r="G60" s="298">
        <f t="shared" si="4"/>
        <v>1371.3496</v>
      </c>
      <c r="H60" s="299">
        <v>12.1</v>
      </c>
      <c r="I60" s="300">
        <v>9</v>
      </c>
      <c r="J60" s="301">
        <f t="shared" si="5"/>
        <v>7.5424227999999998</v>
      </c>
      <c r="K60" s="229">
        <f t="shared" si="6"/>
        <v>16.542422800000001</v>
      </c>
      <c r="L60" s="302" t="s">
        <v>113</v>
      </c>
      <c r="M60" s="302" t="s">
        <v>105</v>
      </c>
      <c r="N60" s="302" t="s">
        <v>105</v>
      </c>
      <c r="O60" s="303">
        <v>0.4</v>
      </c>
      <c r="P60" s="304">
        <f t="shared" si="7"/>
        <v>6.6169691200000003</v>
      </c>
      <c r="Q60" s="305">
        <v>0</v>
      </c>
      <c r="R60" s="306">
        <f t="shared" si="8"/>
        <v>6.6169691200000003</v>
      </c>
    </row>
    <row r="61" spans="2:18" s="128" customFormat="1" ht="13.9" customHeight="1">
      <c r="B61" s="142" t="s">
        <v>120</v>
      </c>
      <c r="C61" s="40" t="s">
        <v>74</v>
      </c>
      <c r="D61" s="142" t="s">
        <v>60</v>
      </c>
      <c r="E61" s="297">
        <f>_xlfn.XLOOKUP($B61,'Development Cost Calculations'!$B$9:$B$36,'Development Cost Calculations'!$F$9:$F$36,0,0)</f>
        <v>304.77699999999999</v>
      </c>
      <c r="F61" s="84">
        <v>2.37</v>
      </c>
      <c r="G61" s="298">
        <f t="shared" si="4"/>
        <v>364.02699999999999</v>
      </c>
      <c r="H61" s="299">
        <v>21.36</v>
      </c>
      <c r="I61" s="300">
        <v>9</v>
      </c>
      <c r="J61" s="301">
        <f t="shared" si="5"/>
        <v>2.0021484999999997</v>
      </c>
      <c r="K61" s="229">
        <f t="shared" si="6"/>
        <v>11.002148500000001</v>
      </c>
      <c r="L61" s="302" t="s">
        <v>113</v>
      </c>
      <c r="M61" s="302" t="s">
        <v>113</v>
      </c>
      <c r="N61" s="302" t="s">
        <v>113</v>
      </c>
      <c r="O61" s="303">
        <v>1</v>
      </c>
      <c r="P61" s="304">
        <f t="shared" si="7"/>
        <v>11.002148500000001</v>
      </c>
      <c r="Q61" s="305">
        <v>0</v>
      </c>
      <c r="R61" s="306">
        <f t="shared" si="8"/>
        <v>11.002148500000001</v>
      </c>
    </row>
    <row r="62" spans="2:18" s="128" customFormat="1" ht="13.15">
      <c r="B62" s="142" t="s">
        <v>118</v>
      </c>
      <c r="C62" s="40" t="s">
        <v>204</v>
      </c>
      <c r="D62" s="142" t="s">
        <v>60</v>
      </c>
      <c r="E62" s="297">
        <f>_xlfn.XLOOKUP($B62,'Development Cost Calculations'!$B$9:$B$36,'Development Cost Calculations'!$F$9:$F$36,0,0)</f>
        <v>384.47</v>
      </c>
      <c r="F62" s="84">
        <v>6.3048000000000002</v>
      </c>
      <c r="G62" s="298">
        <f t="shared" si="4"/>
        <v>542.09</v>
      </c>
      <c r="H62" s="299">
        <v>1.35</v>
      </c>
      <c r="I62" s="300">
        <v>9</v>
      </c>
      <c r="J62" s="301">
        <f t="shared" si="5"/>
        <v>2.9814949999999998</v>
      </c>
      <c r="K62" s="229">
        <f t="shared" si="6"/>
        <v>11.981494999999999</v>
      </c>
      <c r="L62" s="302" t="s">
        <v>113</v>
      </c>
      <c r="M62" s="302" t="s">
        <v>105</v>
      </c>
      <c r="N62" s="302" t="s">
        <v>105</v>
      </c>
      <c r="O62" s="303">
        <v>0.4</v>
      </c>
      <c r="P62" s="304">
        <f t="shared" si="7"/>
        <v>4.7925979999999999</v>
      </c>
      <c r="Q62" s="305">
        <v>0</v>
      </c>
      <c r="R62" s="306">
        <f t="shared" si="8"/>
        <v>4.7925979999999999</v>
      </c>
    </row>
    <row r="63" spans="2:18" s="128" customFormat="1" ht="13.15">
      <c r="B63" s="39" t="s">
        <v>143</v>
      </c>
      <c r="C63" s="40" t="s">
        <v>67</v>
      </c>
      <c r="D63" s="142" t="s">
        <v>60</v>
      </c>
      <c r="E63" s="297">
        <f>_xlfn.XLOOKUP($B63,'Development Cost Calculations'!$B$9:$B$36,'Development Cost Calculations'!$F$9:$F$36,0,0)</f>
        <v>634.95409001279324</v>
      </c>
      <c r="F63" s="84">
        <v>7.5330000000000004</v>
      </c>
      <c r="G63" s="298">
        <f t="shared" si="4"/>
        <v>823.27909001279329</v>
      </c>
      <c r="H63" s="299">
        <v>0</v>
      </c>
      <c r="I63" s="300">
        <v>9</v>
      </c>
      <c r="J63" s="301">
        <f t="shared" si="5"/>
        <v>4.5280349950703629</v>
      </c>
      <c r="K63" s="229">
        <f t="shared" si="6"/>
        <v>13.528034995070364</v>
      </c>
      <c r="L63" s="302" t="s">
        <v>113</v>
      </c>
      <c r="M63" s="302" t="s">
        <v>105</v>
      </c>
      <c r="N63" s="302" t="s">
        <v>105</v>
      </c>
      <c r="O63" s="303">
        <v>0.4</v>
      </c>
      <c r="P63" s="304">
        <f t="shared" si="7"/>
        <v>5.4112139980281455</v>
      </c>
      <c r="Q63" s="305">
        <v>0</v>
      </c>
      <c r="R63" s="306">
        <f>P63+Q63</f>
        <v>5.4112139980281455</v>
      </c>
    </row>
    <row r="64" spans="2:18" s="128" customFormat="1" ht="13.15">
      <c r="B64" s="142" t="s">
        <v>110</v>
      </c>
      <c r="C64" s="40" t="s">
        <v>57</v>
      </c>
      <c r="D64" s="142" t="s">
        <v>60</v>
      </c>
      <c r="E64" s="297">
        <f>_xlfn.XLOOKUP($B64,'Development Cost Calculations'!$B$9:$B$36,'Development Cost Calculations'!$F$9:$F$36,0,0)</f>
        <v>727</v>
      </c>
      <c r="F64" s="84">
        <v>26.8</v>
      </c>
      <c r="G64" s="298">
        <f t="shared" si="4"/>
        <v>1397</v>
      </c>
      <c r="H64" s="299">
        <v>8.9700000000000006</v>
      </c>
      <c r="I64" s="300">
        <v>9</v>
      </c>
      <c r="J64" s="301">
        <f t="shared" si="5"/>
        <v>7.6834999999999996</v>
      </c>
      <c r="K64" s="229">
        <f t="shared" si="6"/>
        <v>16.683499999999999</v>
      </c>
      <c r="L64" s="302" t="s">
        <v>113</v>
      </c>
      <c r="M64" s="302" t="s">
        <v>113</v>
      </c>
      <c r="N64" s="302" t="s">
        <v>113</v>
      </c>
      <c r="O64" s="303">
        <v>1</v>
      </c>
      <c r="P64" s="304">
        <f t="shared" si="7"/>
        <v>16.683499999999999</v>
      </c>
      <c r="Q64" s="305">
        <v>0</v>
      </c>
      <c r="R64" s="306">
        <f t="shared" si="8"/>
        <v>16.683499999999999</v>
      </c>
    </row>
    <row r="65" spans="2:18" s="128" customFormat="1" ht="13.15">
      <c r="B65" s="142" t="s">
        <v>144</v>
      </c>
      <c r="C65" s="40" t="s">
        <v>68</v>
      </c>
      <c r="D65" s="142" t="s">
        <v>60</v>
      </c>
      <c r="E65" s="297">
        <f>_xlfn.XLOOKUP($B65,'Development Cost Calculations'!$B$9:$B$36,'Development Cost Calculations'!$F$9:$F$36,0,0)</f>
        <v>323.08999999999997</v>
      </c>
      <c r="F65" s="84">
        <v>0.97</v>
      </c>
      <c r="G65" s="298">
        <f t="shared" si="4"/>
        <v>347.34</v>
      </c>
      <c r="H65" s="299">
        <v>10.94</v>
      </c>
      <c r="I65" s="300">
        <v>9</v>
      </c>
      <c r="J65" s="301">
        <f t="shared" si="5"/>
        <v>1.9103699999999997</v>
      </c>
      <c r="K65" s="229">
        <f t="shared" si="6"/>
        <v>10.91037</v>
      </c>
      <c r="L65" s="302" t="s">
        <v>113</v>
      </c>
      <c r="M65" s="307" t="s">
        <v>113</v>
      </c>
      <c r="N65" s="307" t="s">
        <v>113</v>
      </c>
      <c r="O65" s="308">
        <v>1</v>
      </c>
      <c r="P65" s="304">
        <f t="shared" si="7"/>
        <v>10.91037</v>
      </c>
      <c r="Q65" s="305">
        <v>0</v>
      </c>
      <c r="R65" s="306">
        <f t="shared" si="8"/>
        <v>10.91037</v>
      </c>
    </row>
    <row r="66" spans="2:18" s="128" customFormat="1" ht="13.15">
      <c r="B66" s="142" t="s">
        <v>125</v>
      </c>
      <c r="C66" s="40" t="s">
        <v>209</v>
      </c>
      <c r="D66" s="142" t="s">
        <v>60</v>
      </c>
      <c r="E66" s="297">
        <f>_xlfn.XLOOKUP($B66,'Development Cost Calculations'!$B$9:$B$36,'Development Cost Calculations'!$F$9:$F$36,0,0)</f>
        <v>308.76900000000001</v>
      </c>
      <c r="F66" s="84">
        <v>4.8</v>
      </c>
      <c r="G66" s="298">
        <f t="shared" si="4"/>
        <v>428.76900000000001</v>
      </c>
      <c r="H66" s="299">
        <v>10.95</v>
      </c>
      <c r="I66" s="300">
        <v>9</v>
      </c>
      <c r="J66" s="301">
        <f t="shared" si="5"/>
        <v>2.3582294999999998</v>
      </c>
      <c r="K66" s="229">
        <f t="shared" si="6"/>
        <v>11.3582295</v>
      </c>
      <c r="L66" s="302" t="s">
        <v>113</v>
      </c>
      <c r="M66" s="307" t="s">
        <v>113</v>
      </c>
      <c r="N66" s="307" t="s">
        <v>105</v>
      </c>
      <c r="O66" s="308">
        <v>0.8</v>
      </c>
      <c r="P66" s="304">
        <f t="shared" si="7"/>
        <v>9.0865836000000009</v>
      </c>
      <c r="Q66" s="305">
        <v>0</v>
      </c>
      <c r="R66" s="306">
        <f t="shared" si="8"/>
        <v>9.0865836000000009</v>
      </c>
    </row>
    <row r="67" spans="2:18" s="128" customFormat="1" ht="13.15">
      <c r="B67" s="142" t="s">
        <v>149</v>
      </c>
      <c r="C67" s="40" t="s">
        <v>57</v>
      </c>
      <c r="D67" s="142" t="s">
        <v>60</v>
      </c>
      <c r="E67" s="297">
        <f>_xlfn.XLOOKUP($B67,'Development Cost Calculations'!$B$9:$B$36,'Development Cost Calculations'!$F$9:$F$36,0,0)</f>
        <v>686</v>
      </c>
      <c r="F67" s="84">
        <v>25.329000000000001</v>
      </c>
      <c r="G67" s="298">
        <f t="shared" si="4"/>
        <v>1319.2249999999999</v>
      </c>
      <c r="H67" s="299">
        <v>0</v>
      </c>
      <c r="I67" s="300">
        <v>9</v>
      </c>
      <c r="J67" s="301">
        <f t="shared" si="5"/>
        <v>7.2557374999999995</v>
      </c>
      <c r="K67" s="229">
        <f t="shared" si="6"/>
        <v>16.255737499999999</v>
      </c>
      <c r="L67" s="302" t="s">
        <v>113</v>
      </c>
      <c r="M67" s="302" t="s">
        <v>113</v>
      </c>
      <c r="N67" s="302" t="s">
        <v>113</v>
      </c>
      <c r="O67" s="308">
        <v>1</v>
      </c>
      <c r="P67" s="304">
        <f t="shared" si="7"/>
        <v>16.255737499999999</v>
      </c>
      <c r="Q67" s="305">
        <v>0</v>
      </c>
      <c r="R67" s="306">
        <f t="shared" si="8"/>
        <v>16.255737499999999</v>
      </c>
    </row>
    <row r="68" spans="2:18" s="128" customFormat="1" ht="13.15">
      <c r="B68" s="142" t="s">
        <v>128</v>
      </c>
      <c r="C68" s="40" t="s">
        <v>64</v>
      </c>
      <c r="D68" s="142" t="s">
        <v>60</v>
      </c>
      <c r="E68" s="297">
        <f>_xlfn.XLOOKUP($B68,'Development Cost Calculations'!$B$9:$B$36,'Development Cost Calculations'!$F$9:$F$36,0,0)</f>
        <v>290</v>
      </c>
      <c r="F68" s="84">
        <v>6.1</v>
      </c>
      <c r="G68" s="298">
        <f t="shared" si="4"/>
        <v>442.5</v>
      </c>
      <c r="H68" s="299">
        <v>0</v>
      </c>
      <c r="I68" s="300">
        <v>9</v>
      </c>
      <c r="J68" s="301">
        <f t="shared" si="5"/>
        <v>2.4337499999999999</v>
      </c>
      <c r="K68" s="229">
        <f t="shared" si="6"/>
        <v>11.43375</v>
      </c>
      <c r="L68" s="302" t="s">
        <v>113</v>
      </c>
      <c r="M68" s="302" t="s">
        <v>105</v>
      </c>
      <c r="N68" s="302" t="s">
        <v>105</v>
      </c>
      <c r="O68" s="308">
        <v>0.4</v>
      </c>
      <c r="P68" s="304">
        <f t="shared" si="7"/>
        <v>4.5735000000000001</v>
      </c>
      <c r="Q68" s="305">
        <v>0</v>
      </c>
      <c r="R68" s="306">
        <f t="shared" si="8"/>
        <v>4.5735000000000001</v>
      </c>
    </row>
    <row r="69" spans="2:18" s="128" customFormat="1" ht="13.15">
      <c r="B69" s="142" t="s">
        <v>130</v>
      </c>
      <c r="C69" s="40" t="s">
        <v>209</v>
      </c>
      <c r="D69" s="142" t="s">
        <v>60</v>
      </c>
      <c r="E69" s="297">
        <f>_xlfn.XLOOKUP($B69,'Development Cost Calculations'!$B$9:$B$36,'Development Cost Calculations'!$F$9:$F$36,0,0)</f>
        <v>341</v>
      </c>
      <c r="F69" s="84">
        <v>5.2</v>
      </c>
      <c r="G69" s="298">
        <f t="shared" si="4"/>
        <v>471</v>
      </c>
      <c r="H69" s="299">
        <v>0</v>
      </c>
      <c r="I69" s="300">
        <v>9</v>
      </c>
      <c r="J69" s="301">
        <f t="shared" si="5"/>
        <v>2.5905</v>
      </c>
      <c r="K69" s="229">
        <f t="shared" si="6"/>
        <v>11.5905</v>
      </c>
      <c r="L69" s="302" t="s">
        <v>113</v>
      </c>
      <c r="M69" s="302" t="s">
        <v>105</v>
      </c>
      <c r="N69" s="302" t="s">
        <v>105</v>
      </c>
      <c r="O69" s="308">
        <v>0.4</v>
      </c>
      <c r="P69" s="304">
        <f t="shared" si="7"/>
        <v>4.6362000000000005</v>
      </c>
      <c r="Q69" s="305">
        <v>0</v>
      </c>
      <c r="R69" s="306">
        <f t="shared" si="8"/>
        <v>4.6362000000000005</v>
      </c>
    </row>
    <row r="70" spans="2:18" s="128" customFormat="1" ht="13.15">
      <c r="B70" s="142" t="s">
        <v>155</v>
      </c>
      <c r="C70" s="40" t="s">
        <v>64</v>
      </c>
      <c r="D70" s="142" t="s">
        <v>60</v>
      </c>
      <c r="E70" s="297">
        <f>_xlfn.XLOOKUP($B70,'Development Cost Calculations'!$B$9:$B$36,'Development Cost Calculations'!$F$9:$F$36,0,0)</f>
        <v>315.98</v>
      </c>
      <c r="F70" s="84">
        <v>2.33</v>
      </c>
      <c r="G70" s="298">
        <f t="shared" si="4"/>
        <v>374.23</v>
      </c>
      <c r="H70" s="299">
        <v>6.1</v>
      </c>
      <c r="I70" s="300">
        <v>9</v>
      </c>
      <c r="J70" s="301">
        <f t="shared" si="5"/>
        <v>2.058265</v>
      </c>
      <c r="K70" s="229">
        <f t="shared" si="6"/>
        <v>11.058265</v>
      </c>
      <c r="L70" s="302" t="s">
        <v>113</v>
      </c>
      <c r="M70" s="302" t="s">
        <v>105</v>
      </c>
      <c r="N70" s="302" t="s">
        <v>105</v>
      </c>
      <c r="O70" s="308">
        <v>0.4</v>
      </c>
      <c r="P70" s="304">
        <f t="shared" si="7"/>
        <v>4.4233060000000002</v>
      </c>
      <c r="Q70" s="305">
        <v>0</v>
      </c>
      <c r="R70" s="306">
        <f t="shared" si="8"/>
        <v>4.4233060000000002</v>
      </c>
    </row>
    <row r="71" spans="2:18" s="128" customFormat="1" ht="13.15">
      <c r="B71" s="142" t="s">
        <v>151</v>
      </c>
      <c r="C71" s="40" t="s">
        <v>63</v>
      </c>
      <c r="D71" s="142" t="s">
        <v>60</v>
      </c>
      <c r="E71" s="297">
        <f>_xlfn.XLOOKUP($B71,'Development Cost Calculations'!$B$9:$B$36,'Development Cost Calculations'!$F$9:$F$36,0,0)</f>
        <v>662</v>
      </c>
      <c r="F71" s="84">
        <v>1.5</v>
      </c>
      <c r="G71" s="298">
        <f t="shared" si="4"/>
        <v>699.5</v>
      </c>
      <c r="H71" s="299">
        <v>0</v>
      </c>
      <c r="I71" s="300">
        <v>9</v>
      </c>
      <c r="J71" s="301">
        <f t="shared" si="5"/>
        <v>3.8472499999999998</v>
      </c>
      <c r="K71" s="229">
        <f t="shared" si="6"/>
        <v>12.847249999999999</v>
      </c>
      <c r="L71" s="302" t="s">
        <v>113</v>
      </c>
      <c r="M71" s="302" t="s">
        <v>105</v>
      </c>
      <c r="N71" s="302" t="s">
        <v>105</v>
      </c>
      <c r="O71" s="308">
        <v>0.4</v>
      </c>
      <c r="P71" s="304">
        <f t="shared" si="7"/>
        <v>5.1388999999999996</v>
      </c>
      <c r="Q71" s="305">
        <v>0</v>
      </c>
      <c r="R71" s="306">
        <f t="shared" si="8"/>
        <v>5.1388999999999996</v>
      </c>
    </row>
    <row r="72" spans="2:18" s="128" customFormat="1" ht="13.15">
      <c r="B72" s="142" t="s">
        <v>153</v>
      </c>
      <c r="C72" s="40" t="s">
        <v>74</v>
      </c>
      <c r="D72" s="142" t="s">
        <v>60</v>
      </c>
      <c r="E72" s="297">
        <f>_xlfn.XLOOKUP($B72,'Development Cost Calculations'!$B$9:$B$36,'Development Cost Calculations'!$F$9:$F$36,0,0)</f>
        <v>225</v>
      </c>
      <c r="F72" s="84">
        <v>1.07</v>
      </c>
      <c r="G72" s="298">
        <f t="shared" si="4"/>
        <v>251.75</v>
      </c>
      <c r="H72" s="299">
        <v>0</v>
      </c>
      <c r="I72" s="300">
        <v>9</v>
      </c>
      <c r="J72" s="301">
        <f t="shared" si="5"/>
        <v>1.384625</v>
      </c>
      <c r="K72" s="229">
        <f t="shared" si="6"/>
        <v>10.384625</v>
      </c>
      <c r="L72" s="302" t="s">
        <v>113</v>
      </c>
      <c r="M72" s="302" t="s">
        <v>105</v>
      </c>
      <c r="N72" s="302" t="s">
        <v>105</v>
      </c>
      <c r="O72" s="308">
        <v>0.4</v>
      </c>
      <c r="P72" s="304">
        <f t="shared" si="7"/>
        <v>4.1538500000000003</v>
      </c>
      <c r="Q72" s="305">
        <v>0</v>
      </c>
      <c r="R72" s="306">
        <f t="shared" si="8"/>
        <v>4.1538500000000003</v>
      </c>
    </row>
    <row r="73" spans="2:18" s="128" customFormat="1">
      <c r="G73" s="279"/>
    </row>
    <row r="74" spans="2:18" s="128" customFormat="1" ht="13.15">
      <c r="C74" s="309"/>
      <c r="G74" s="310"/>
      <c r="P74" s="311"/>
    </row>
    <row r="75" spans="2:18" s="128" customFormat="1" ht="13.15">
      <c r="B75" s="312" t="s">
        <v>274</v>
      </c>
      <c r="C75" s="107">
        <v>5.4999999999999997E-3</v>
      </c>
    </row>
    <row r="76" spans="2:18" s="128" customFormat="1" ht="13.15">
      <c r="B76" s="312" t="s">
        <v>275</v>
      </c>
      <c r="C76" s="107">
        <v>25</v>
      </c>
    </row>
    <row r="77" spans="2:18" s="128" customFormat="1"/>
    <row r="85" spans="7:8" ht="13.15">
      <c r="G85" s="136"/>
      <c r="H85" s="136"/>
    </row>
    <row r="86" spans="7:8" ht="14.25">
      <c r="G86" s="13"/>
      <c r="H86" s="137"/>
    </row>
    <row r="87" spans="7:8">
      <c r="G87" s="13"/>
      <c r="H87" s="13"/>
    </row>
    <row r="88" spans="7:8">
      <c r="G88" s="13"/>
      <c r="H88" s="13"/>
    </row>
    <row r="89" spans="7:8">
      <c r="G89" s="13"/>
      <c r="H89" s="13"/>
    </row>
    <row r="90" spans="7:8">
      <c r="G90" s="13"/>
      <c r="H90" s="13"/>
    </row>
    <row r="91" spans="7:8">
      <c r="G91" s="13"/>
      <c r="H91" s="13"/>
    </row>
    <row r="92" spans="7:8">
      <c r="G92" s="13"/>
      <c r="H92" s="13"/>
    </row>
    <row r="93" spans="7:8">
      <c r="G93" s="13"/>
      <c r="H93" s="13"/>
    </row>
    <row r="94" spans="7:8">
      <c r="G94" s="13"/>
      <c r="H94" s="13"/>
    </row>
    <row r="95" spans="7:8">
      <c r="G95" s="13"/>
      <c r="H95" s="13"/>
    </row>
    <row r="96" spans="7:8">
      <c r="G96" s="13"/>
      <c r="H96" s="13"/>
    </row>
    <row r="97" spans="7:8">
      <c r="G97" s="13"/>
      <c r="H97" s="13"/>
    </row>
    <row r="98" spans="7:8">
      <c r="G98" s="13"/>
      <c r="H98" s="13"/>
    </row>
    <row r="99" spans="7:8">
      <c r="G99" s="13"/>
      <c r="H99" s="13"/>
    </row>
    <row r="100" spans="7:8">
      <c r="G100" s="13"/>
      <c r="H100" s="13"/>
    </row>
    <row r="101" spans="7:8">
      <c r="G101" s="13"/>
      <c r="H101" s="13"/>
    </row>
    <row r="102" spans="7:8">
      <c r="G102" s="13"/>
      <c r="H102" s="13"/>
    </row>
    <row r="103" spans="7:8">
      <c r="G103" s="13"/>
      <c r="H103" s="13"/>
    </row>
    <row r="104" spans="7:8">
      <c r="G104" s="13"/>
      <c r="H104" s="13"/>
    </row>
    <row r="105" spans="7:8">
      <c r="G105" s="13"/>
      <c r="H105" s="13"/>
    </row>
    <row r="106" spans="7:8">
      <c r="G106" s="13"/>
      <c r="H106" s="13"/>
    </row>
    <row r="107" spans="7:8">
      <c r="G107" s="13"/>
      <c r="H107" s="13"/>
    </row>
    <row r="108" spans="7:8">
      <c r="G108" s="13"/>
      <c r="H108" s="13"/>
    </row>
    <row r="109" spans="7:8">
      <c r="G109" s="13"/>
      <c r="H109" s="13"/>
    </row>
    <row r="110" spans="7:8">
      <c r="G110" s="13"/>
      <c r="H110" s="13"/>
    </row>
    <row r="111" spans="7:8">
      <c r="G111" s="13"/>
      <c r="H111" s="13"/>
    </row>
    <row r="112" spans="7:8">
      <c r="G112" s="13"/>
      <c r="H112" s="13"/>
    </row>
    <row r="2878" spans="4:4">
      <c r="D2878" s="74"/>
    </row>
  </sheetData>
  <autoFilter ref="B5:I36" xr:uid="{D2706437-68BB-4F9A-BD1C-7CC0B4E427A6}"/>
  <mergeCells count="58">
    <mergeCell ref="I49:K49"/>
    <mergeCell ref="O49:R49"/>
    <mergeCell ref="F17:F18"/>
    <mergeCell ref="H17:H18"/>
    <mergeCell ref="K17:AE17"/>
    <mergeCell ref="K18:AE18"/>
    <mergeCell ref="F19:F20"/>
    <mergeCell ref="H19:H20"/>
    <mergeCell ref="F25:F27"/>
    <mergeCell ref="H25:H27"/>
    <mergeCell ref="K36:AE36"/>
    <mergeCell ref="K25:AE25"/>
    <mergeCell ref="K26:AE26"/>
    <mergeCell ref="K27:AE27"/>
    <mergeCell ref="K28:AE28"/>
    <mergeCell ref="H30:H31"/>
    <mergeCell ref="K29:AE29"/>
    <mergeCell ref="K30:AE30"/>
    <mergeCell ref="K31:AE31"/>
    <mergeCell ref="F6:F8"/>
    <mergeCell ref="H6:H8"/>
    <mergeCell ref="F12:F13"/>
    <mergeCell ref="H12:H13"/>
    <mergeCell ref="F14:F15"/>
    <mergeCell ref="H14:H15"/>
    <mergeCell ref="F30:F31"/>
    <mergeCell ref="K15:AE15"/>
    <mergeCell ref="K16:AE16"/>
    <mergeCell ref="K23:AE23"/>
    <mergeCell ref="K24:AE24"/>
    <mergeCell ref="K19:AE19"/>
    <mergeCell ref="K20:AE20"/>
    <mergeCell ref="K21:AE21"/>
    <mergeCell ref="K22:AE22"/>
    <mergeCell ref="K10:AE10"/>
    <mergeCell ref="K11:AE11"/>
    <mergeCell ref="K12:AE12"/>
    <mergeCell ref="K13:AE13"/>
    <mergeCell ref="K14:AE14"/>
    <mergeCell ref="K5:AE5"/>
    <mergeCell ref="K6:AE6"/>
    <mergeCell ref="K7:AE7"/>
    <mergeCell ref="K8:AE8"/>
    <mergeCell ref="K9:AE9"/>
    <mergeCell ref="K32:AE32"/>
    <mergeCell ref="K33:AE33"/>
    <mergeCell ref="K34:AE34"/>
    <mergeCell ref="I48:K48"/>
    <mergeCell ref="O48:R48"/>
    <mergeCell ref="K44:AE44"/>
    <mergeCell ref="K35:AE35"/>
    <mergeCell ref="K42:AE42"/>
    <mergeCell ref="F40:F42"/>
    <mergeCell ref="H40:H42"/>
    <mergeCell ref="L48:N48"/>
    <mergeCell ref="K40:AE40"/>
    <mergeCell ref="K41:AE41"/>
    <mergeCell ref="K43:AE43"/>
  </mergeCell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AC93D6-7BDD-458B-8197-E8F8AAFA9DAD}">
  <sheetPr>
    <tabColor rgb="FFCCCCCE"/>
  </sheetPr>
  <dimension ref="A1:AN146"/>
  <sheetViews>
    <sheetView zoomScale="80" zoomScaleNormal="80" workbookViewId="0">
      <pane xSplit="2" ySplit="4" topLeftCell="C5" activePane="bottomRight" state="frozen"/>
      <selection pane="bottomRight"/>
      <selection pane="bottomLeft"/>
      <selection pane="topRight"/>
    </sheetView>
  </sheetViews>
  <sheetFormatPr defaultColWidth="9" defaultRowHeight="13.5"/>
  <cols>
    <col min="1" max="1" width="11" style="15" customWidth="1"/>
    <col min="2" max="2" width="30.5703125" style="15" customWidth="1"/>
    <col min="3" max="3" width="30" style="15" bestFit="1" customWidth="1"/>
    <col min="4" max="5" width="13.140625" style="15" customWidth="1"/>
    <col min="6" max="6" width="15.42578125" style="15" customWidth="1"/>
    <col min="7" max="11" width="13.140625" style="15" customWidth="1"/>
    <col min="12" max="12" width="21.28515625" style="15" customWidth="1"/>
    <col min="13" max="13" width="19.7109375" style="15" bestFit="1" customWidth="1"/>
    <col min="14" max="14" width="21.28515625" style="15" customWidth="1"/>
    <col min="15" max="15" width="12.42578125" style="15" customWidth="1"/>
    <col min="16" max="16" width="173.140625" style="15" customWidth="1"/>
    <col min="17" max="16384" width="9" style="15"/>
  </cols>
  <sheetData>
    <row r="1" spans="1:40" s="209" customFormat="1" ht="32.85" customHeight="1">
      <c r="A1" s="210" t="e">
        <f ca="1" xml:space="preserve"> RIGHT(CELL("filename", A1), LEN(CELL("filename", A1)) - SEARCH("]", CELL("filename", A1)))</f>
        <v>#VALUE!</v>
      </c>
      <c r="B1" s="210"/>
      <c r="C1" s="210"/>
      <c r="D1" s="210"/>
      <c r="E1" s="210"/>
      <c r="F1" s="210"/>
      <c r="G1" s="210"/>
      <c r="H1" s="210"/>
      <c r="I1" s="210"/>
      <c r="J1" s="210"/>
      <c r="K1" s="210"/>
      <c r="L1" s="210"/>
      <c r="M1" s="210"/>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row>
    <row r="2" spans="1:40">
      <c r="I2" s="122"/>
      <c r="J2" s="122"/>
    </row>
    <row r="3" spans="1:40">
      <c r="F3" s="358" t="s">
        <v>276</v>
      </c>
      <c r="G3" s="359"/>
      <c r="H3" s="358" t="s">
        <v>276</v>
      </c>
      <c r="I3" s="360"/>
      <c r="J3" s="360"/>
      <c r="K3" s="359"/>
      <c r="L3" s="358" t="s">
        <v>261</v>
      </c>
      <c r="M3" s="360"/>
      <c r="N3" s="359"/>
    </row>
    <row r="4" spans="1:40" s="22" customFormat="1" ht="52.5">
      <c r="A4" s="21" t="s">
        <v>277</v>
      </c>
      <c r="B4" s="21" t="s">
        <v>180</v>
      </c>
      <c r="C4" s="21" t="s">
        <v>278</v>
      </c>
      <c r="D4" s="21" t="s">
        <v>279</v>
      </c>
      <c r="E4" s="21" t="s">
        <v>82</v>
      </c>
      <c r="F4" s="21" t="s">
        <v>280</v>
      </c>
      <c r="G4" s="21" t="s">
        <v>281</v>
      </c>
      <c r="H4" s="111" t="s">
        <v>282</v>
      </c>
      <c r="I4" s="111" t="s">
        <v>283</v>
      </c>
      <c r="J4" s="111" t="s">
        <v>284</v>
      </c>
      <c r="K4" s="111" t="s">
        <v>285</v>
      </c>
      <c r="L4" s="70" t="s">
        <v>286</v>
      </c>
      <c r="M4" s="21" t="s">
        <v>287</v>
      </c>
      <c r="N4" s="21" t="s">
        <v>288</v>
      </c>
      <c r="O4" s="81" t="s">
        <v>239</v>
      </c>
      <c r="P4" s="21" t="s">
        <v>170</v>
      </c>
    </row>
    <row r="5" spans="1:40" s="22" customFormat="1">
      <c r="A5" s="368">
        <v>1</v>
      </c>
      <c r="B5" s="40" t="s">
        <v>122</v>
      </c>
      <c r="C5" s="40" t="s">
        <v>64</v>
      </c>
      <c r="D5" s="23">
        <v>0.1</v>
      </c>
      <c r="E5" s="144" t="s">
        <v>60</v>
      </c>
      <c r="F5" s="361">
        <f>SUM(G5:G7)</f>
        <v>54.170999999999999</v>
      </c>
      <c r="G5" s="117">
        <f>IF(SUMIF('F_Input Override'!$C$45:$C$46,B5,'F_Input Override'!$K$45:$K$46)&gt;0,SUMIF('F_Input Override'!$C$45:$C$46,B5,'F_Input Override'!$K$45:$K$46),SUMIFS(Inputs!$I$4:$I$42,Inputs!$B$4:$B$42,'Final Development Cost Split'!B5,Inputs!$A$4:$A$42,'Final Development Cost Split'!C5)+SUMIFS(Other_Inputs!$I$4:$I$7,Other_Inputs!$B$4:$B$7,'Final Development Cost Split'!B5))</f>
        <v>2.5</v>
      </c>
      <c r="H5" s="361">
        <f>SUM(I5:I7)</f>
        <v>0</v>
      </c>
      <c r="I5" s="89">
        <f>SUMIFS('DPC and SIPR Cost Calculations'!$G$6:$G$36,'DPC and SIPR Cost Calculations'!$C$6:$C$36,'Final Development Cost Split'!C5,'DPC and SIPR Cost Calculations'!$B$6:$B$36,'Final Development Cost Split'!B5)</f>
        <v>0</v>
      </c>
      <c r="J5" s="364">
        <f>SUMIFS('DPC and SIPR Cost Calculations'!$H$6:$H$36,'DPC and SIPR Cost Calculations'!$B$6:$B$36,'Final Development Cost Split'!B5)</f>
        <v>7.896369</v>
      </c>
      <c r="K5" s="89">
        <f>J5*D5</f>
        <v>0.78963690000000009</v>
      </c>
      <c r="L5" s="364">
        <f>_xlfn.XLOOKUP(B5,'Development Cost Calculations'!$B$9:$B$36,'Development Cost Calculations'!$Q$9:$Q$36)</f>
        <v>24.224</v>
      </c>
      <c r="M5" s="355">
        <f>L5+J5</f>
        <v>32.120368999999997</v>
      </c>
      <c r="N5" s="90">
        <f>M5*D5</f>
        <v>3.2120368999999998</v>
      </c>
      <c r="O5" s="90">
        <f>N5-G5</f>
        <v>0.71203689999999975</v>
      </c>
      <c r="P5" s="158" t="s">
        <v>289</v>
      </c>
    </row>
    <row r="6" spans="1:40" s="22" customFormat="1" ht="26.25">
      <c r="A6" s="368"/>
      <c r="B6" s="40" t="s">
        <v>122</v>
      </c>
      <c r="C6" s="40" t="s">
        <v>67</v>
      </c>
      <c r="D6" s="23">
        <v>0.8</v>
      </c>
      <c r="E6" s="144" t="s">
        <v>60</v>
      </c>
      <c r="F6" s="362"/>
      <c r="G6" s="117">
        <f>IF(SUMIF('F_Input Override'!$C$45:$C$46,B6,'F_Input Override'!$K$45:$K$46)&gt;0,SUMIF('F_Input Override'!$C$45:$C$46,B6,'F_Input Override'!$K$45:$K$46),SUMIFS(Inputs!$I$4:$I$42,Inputs!$B$4:$B$42,'Final Development Cost Split'!B6,Inputs!$A$4:$A$42,'Final Development Cost Split'!C6)+SUMIFS(Other_Inputs!$I$4:$I$7,Other_Inputs!$B$4:$B$7,'Final Development Cost Split'!B6))</f>
        <v>49.170999999999999</v>
      </c>
      <c r="H6" s="362"/>
      <c r="I6" s="89">
        <f>SUMIFS('DPC and SIPR Cost Calculations'!$G$6:$G$36,'DPC and SIPR Cost Calculations'!$C$6:$C$36,'Final Development Cost Split'!C6,'DPC and SIPR Cost Calculations'!$B$6:$B$36,'Final Development Cost Split'!B6)</f>
        <v>0</v>
      </c>
      <c r="J6" s="365"/>
      <c r="K6" s="89">
        <f>J5*D6</f>
        <v>6.3170952000000007</v>
      </c>
      <c r="L6" s="365"/>
      <c r="M6" s="367"/>
      <c r="N6" s="90">
        <f>M5*D6</f>
        <v>25.696295199999998</v>
      </c>
      <c r="O6" s="90">
        <f t="shared" ref="O6:O46" si="0">N6-G6</f>
        <v>-23.474704800000001</v>
      </c>
      <c r="P6" s="158" t="s">
        <v>290</v>
      </c>
    </row>
    <row r="7" spans="1:40" s="22" customFormat="1">
      <c r="A7" s="368"/>
      <c r="B7" s="40" t="s">
        <v>122</v>
      </c>
      <c r="C7" s="40" t="s">
        <v>68</v>
      </c>
      <c r="D7" s="23">
        <v>0.1</v>
      </c>
      <c r="E7" s="144" t="s">
        <v>60</v>
      </c>
      <c r="F7" s="363"/>
      <c r="G7" s="117">
        <f>IF(SUMIF('F_Input Override'!$C$45:$C$46,B7,'F_Input Override'!$K$45:$K$46)&gt;0,SUMIF('F_Input Override'!$C$45:$C$46,B7,'F_Input Override'!$K$45:$K$46),SUMIFS(Inputs!$I$4:$I$42,Inputs!$B$4:$B$42,'Final Development Cost Split'!B7,Inputs!$A$4:$A$42,'Final Development Cost Split'!C7)+SUMIFS(Other_Inputs!$I$4:$I$7,Other_Inputs!$B$4:$B$7,'Final Development Cost Split'!B7))</f>
        <v>2.5</v>
      </c>
      <c r="H7" s="363"/>
      <c r="I7" s="89">
        <f>SUMIFS('DPC and SIPR Cost Calculations'!$G$6:$G$36,'DPC and SIPR Cost Calculations'!$C$6:$C$36,'Final Development Cost Split'!C7,'DPC and SIPR Cost Calculations'!$B$6:$B$36,'Final Development Cost Split'!B7)</f>
        <v>0</v>
      </c>
      <c r="J7" s="366"/>
      <c r="K7" s="89">
        <f>J5*D7</f>
        <v>0.78963690000000009</v>
      </c>
      <c r="L7" s="366"/>
      <c r="M7" s="356"/>
      <c r="N7" s="90">
        <f>M5*D7</f>
        <v>3.2120368999999998</v>
      </c>
      <c r="O7" s="90">
        <f t="shared" si="0"/>
        <v>0.71203689999999975</v>
      </c>
      <c r="P7" s="158" t="s">
        <v>289</v>
      </c>
    </row>
    <row r="8" spans="1:40" s="22" customFormat="1" ht="26.25">
      <c r="A8" s="32">
        <v>2</v>
      </c>
      <c r="B8" s="40" t="s">
        <v>138</v>
      </c>
      <c r="C8" s="40" t="s">
        <v>66</v>
      </c>
      <c r="D8" s="23">
        <v>1</v>
      </c>
      <c r="E8" s="144" t="s">
        <v>60</v>
      </c>
      <c r="F8" s="88">
        <f>SUM(G8)</f>
        <v>196.53399999999999</v>
      </c>
      <c r="G8" s="117">
        <f>IF(SUMIF('F_Input Override'!$C$45:$C$46,B8,'F_Input Override'!$K$45:$K$46)&gt;0,SUMIF('F_Input Override'!$C$45:$C$46,B8,'F_Input Override'!$K$45:$K$46),SUMIFS(Inputs!$I$4:$I$42,Inputs!$B$4:$B$42,'Final Development Cost Split'!B8,Inputs!$A$4:$A$42,'Final Development Cost Split'!C8)+SUMIFS(Other_Inputs!$I$4:$I$7,Other_Inputs!$B$4:$B$7,'Final Development Cost Split'!B8))</f>
        <v>196.53399999999999</v>
      </c>
      <c r="H8" s="88">
        <f>SUM(I8)</f>
        <v>8.36</v>
      </c>
      <c r="I8" s="89">
        <f>SUMIFS('DPC and SIPR Cost Calculations'!$G$6:$G$36,'DPC and SIPR Cost Calculations'!$C$6:$C$36,'Final Development Cost Split'!C8,'DPC and SIPR Cost Calculations'!$B$6:$B$36,'Final Development Cost Split'!B8)</f>
        <v>8.36</v>
      </c>
      <c r="J8" s="89">
        <f>SUMIFS('DPC and SIPR Cost Calculations'!$H$6:$H$36,'DPC and SIPR Cost Calculations'!$B$6:$B$36,'Final Development Cost Split'!B8)</f>
        <v>15.410735500000001</v>
      </c>
      <c r="K8" s="89">
        <f>J8*D8</f>
        <v>15.410735500000001</v>
      </c>
      <c r="L8" s="89">
        <f>_xlfn.XLOOKUP(B8,'Development Cost Calculations'!$B$9:$B$36,'Development Cost Calculations'!$Q$9:$Q$36)</f>
        <v>78.233898721759758</v>
      </c>
      <c r="M8" s="90">
        <f>L8+J8</f>
        <v>93.644634221759759</v>
      </c>
      <c r="N8" s="90">
        <f>M8*D8</f>
        <v>93.644634221759759</v>
      </c>
      <c r="O8" s="90">
        <f t="shared" si="0"/>
        <v>-102.88936577824023</v>
      </c>
      <c r="P8" s="158" t="s">
        <v>291</v>
      </c>
      <c r="Q8" s="264"/>
    </row>
    <row r="9" spans="1:40" s="22" customFormat="1">
      <c r="A9" s="32">
        <v>3</v>
      </c>
      <c r="B9" s="40" t="s">
        <v>114</v>
      </c>
      <c r="C9" s="40" t="s">
        <v>57</v>
      </c>
      <c r="D9" s="23">
        <v>1</v>
      </c>
      <c r="E9" s="144" t="s">
        <v>60</v>
      </c>
      <c r="F9" s="88">
        <f>SUM(G9)</f>
        <v>7.71</v>
      </c>
      <c r="G9" s="117">
        <f>IF(SUMIF('F_Input Override'!$C$45:$C$46,B9,'F_Input Override'!$K$45:$K$46)&gt;0,SUMIF('F_Input Override'!$C$45:$C$46,B9,'F_Input Override'!$K$45:$K$46),SUMIFS(Inputs!$I$4:$I$42,Inputs!$B$4:$B$42,'Final Development Cost Split'!B9,Inputs!$A$4:$A$42,'Final Development Cost Split'!C9)+SUMIFS(Other_Inputs!$I$4:$I$7,Other_Inputs!$B$4:$B$7,'Final Development Cost Split'!B9))</f>
        <v>7.71</v>
      </c>
      <c r="H9" s="88">
        <f>SUM(I9)</f>
        <v>0</v>
      </c>
      <c r="I9" s="89">
        <f>SUMIFS('DPC and SIPR Cost Calculations'!$G$6:$G$36,'DPC and SIPR Cost Calculations'!$C$6:$C$36,'Final Development Cost Split'!C9,'DPC and SIPR Cost Calculations'!$B$6:$B$36,'Final Development Cost Split'!B9)</f>
        <v>0</v>
      </c>
      <c r="J9" s="89">
        <f>SUMIFS('DPC and SIPR Cost Calculations'!$H$6:$H$36,'DPC and SIPR Cost Calculations'!$B$6:$B$36,'Final Development Cost Split'!B9)</f>
        <v>0</v>
      </c>
      <c r="K9" s="89">
        <f>J9*D9</f>
        <v>0</v>
      </c>
      <c r="L9" s="89">
        <f>_xlfn.XLOOKUP(B9,'Development Cost Calculations'!$B$9:$B$36,'Development Cost Calculations'!$Q$9:$Q$36)</f>
        <v>7.7099999999999991</v>
      </c>
      <c r="M9" s="90">
        <f>L9+J9</f>
        <v>7.7099999999999991</v>
      </c>
      <c r="N9" s="90">
        <f>M9*D9</f>
        <v>7.7099999999999991</v>
      </c>
      <c r="O9" s="90">
        <f t="shared" si="0"/>
        <v>0</v>
      </c>
      <c r="P9" s="158" t="s">
        <v>127</v>
      </c>
    </row>
    <row r="10" spans="1:40" s="22" customFormat="1">
      <c r="A10" s="32">
        <v>4</v>
      </c>
      <c r="B10" s="40" t="s">
        <v>109</v>
      </c>
      <c r="C10" s="40" t="s">
        <v>71</v>
      </c>
      <c r="D10" s="23">
        <v>1</v>
      </c>
      <c r="E10" s="144" t="s">
        <v>60</v>
      </c>
      <c r="F10" s="88">
        <f>SUM(G10)</f>
        <v>6.1479999999999997</v>
      </c>
      <c r="G10" s="117">
        <f>IF(SUMIF('F_Input Override'!$C$45:$C$46,B10,'F_Input Override'!$K$45:$K$46)&gt;0,SUMIF('F_Input Override'!$C$45:$C$46,B10,'F_Input Override'!$K$45:$K$46),SUMIFS(Inputs!$I$4:$I$42,Inputs!$B$4:$B$42,'Final Development Cost Split'!B10,Inputs!$A$4:$A$42,'Final Development Cost Split'!C10)+SUMIFS(Other_Inputs!$I$4:$I$7,Other_Inputs!$B$4:$B$7,'Final Development Cost Split'!B10))</f>
        <v>6.1479999999999997</v>
      </c>
      <c r="H10" s="88">
        <f>SUM(I10)</f>
        <v>0</v>
      </c>
      <c r="I10" s="89">
        <f>SUMIFS('DPC and SIPR Cost Calculations'!$G$6:$G$36,'DPC and SIPR Cost Calculations'!$C$6:$C$36,'Final Development Cost Split'!C10,'DPC and SIPR Cost Calculations'!$B$6:$B$36,'Final Development Cost Split'!B10)</f>
        <v>0</v>
      </c>
      <c r="J10" s="89">
        <f>SUMIFS('DPC and SIPR Cost Calculations'!$H$6:$H$36,'DPC and SIPR Cost Calculations'!$B$6:$B$36,'Final Development Cost Split'!B10)</f>
        <v>0</v>
      </c>
      <c r="K10" s="89">
        <f>J10*D10</f>
        <v>0</v>
      </c>
      <c r="L10" s="89">
        <f>_xlfn.XLOOKUP(B10,'Development Cost Calculations'!$B$9:$B$36,'Development Cost Calculations'!$Q$9:$Q$36)</f>
        <v>6.1480000000000006</v>
      </c>
      <c r="M10" s="90">
        <f>L10+J10</f>
        <v>6.1480000000000006</v>
      </c>
      <c r="N10" s="90">
        <f>M10*D10</f>
        <v>6.1480000000000006</v>
      </c>
      <c r="O10" s="90">
        <f t="shared" si="0"/>
        <v>0</v>
      </c>
      <c r="P10" s="158" t="s">
        <v>127</v>
      </c>
      <c r="V10" s="258"/>
    </row>
    <row r="11" spans="1:40" s="22" customFormat="1" ht="26.25">
      <c r="A11" s="368">
        <v>5</v>
      </c>
      <c r="B11" s="39" t="s">
        <v>134</v>
      </c>
      <c r="C11" s="39" t="s">
        <v>69</v>
      </c>
      <c r="D11" s="145">
        <v>0.5</v>
      </c>
      <c r="E11" s="144" t="s">
        <v>60</v>
      </c>
      <c r="F11" s="361">
        <f>SUM(G11:G12)</f>
        <v>45.414000000000001</v>
      </c>
      <c r="G11" s="117">
        <f>IF(SUMIF('F_Input Override'!$C$45:$C$46,B11,'F_Input Override'!$K$45:$K$46)&gt;0,SUMIF('F_Input Override'!$C$45:$C$46,B11,'F_Input Override'!$K$45:$K$46),SUMIFS(Inputs!$I$4:$I$42,Inputs!$B$4:$B$42,'Final Development Cost Split'!B11,Inputs!$A$4:$A$42,'Final Development Cost Split'!C11)+SUMIFS(Other_Inputs!$I$4:$I$7,Other_Inputs!$B$4:$B$7,'Final Development Cost Split'!B11))</f>
        <v>24.18</v>
      </c>
      <c r="H11" s="361">
        <f>SUM(I11:I12)</f>
        <v>13.1</v>
      </c>
      <c r="I11" s="89">
        <f>SUMIFS('DPC and SIPR Cost Calculations'!$G$6:$G$36,'DPC and SIPR Cost Calculations'!$C$6:$C$36,'Final Development Cost Split'!C11,'DPC and SIPR Cost Calculations'!$B$6:$B$36,'Final Development Cost Split'!B11)</f>
        <v>6.55</v>
      </c>
      <c r="J11" s="364">
        <f>SUMIFS('DPC and SIPR Cost Calculations'!$H$6:$H$36,'DPC and SIPR Cost Calculations'!$B$6:$B$36,'Final Development Cost Split'!B11)</f>
        <v>7.2442956000000009</v>
      </c>
      <c r="K11" s="89">
        <f>J11*D11</f>
        <v>3.6221478000000005</v>
      </c>
      <c r="L11" s="364">
        <f>_xlfn.XLOOKUP(B11,'Development Cost Calculations'!$B$9:$B$36,'Development Cost Calculations'!$Q$9:$Q$36)</f>
        <v>31.467500671517517</v>
      </c>
      <c r="M11" s="355">
        <f>L11+J11</f>
        <v>38.711796271517514</v>
      </c>
      <c r="N11" s="90">
        <f>M11*D11</f>
        <v>19.355898135758757</v>
      </c>
      <c r="O11" s="90">
        <f t="shared" si="0"/>
        <v>-4.8241018642412428</v>
      </c>
      <c r="P11" s="158" t="s">
        <v>292</v>
      </c>
    </row>
    <row r="12" spans="1:40" s="22" customFormat="1" ht="26.25">
      <c r="A12" s="368"/>
      <c r="B12" s="39" t="s">
        <v>134</v>
      </c>
      <c r="C12" s="39" t="s">
        <v>65</v>
      </c>
      <c r="D12" s="145">
        <v>0.5</v>
      </c>
      <c r="E12" s="144" t="s">
        <v>60</v>
      </c>
      <c r="F12" s="363"/>
      <c r="G12" s="117">
        <f>IF(SUMIF('F_Input Override'!$C$45:$C$46,B12,'F_Input Override'!$K$45:$K$46)&gt;0,SUMIF('F_Input Override'!$C$45:$C$46,B12,'F_Input Override'!$K$45:$K$46),SUMIFS(Inputs!$I$4:$I$42,Inputs!$B$4:$B$42,'Final Development Cost Split'!B12,Inputs!$A$4:$A$42,'Final Development Cost Split'!C12)+SUMIFS(Other_Inputs!$I$4:$I$7,Other_Inputs!$B$4:$B$7,'Final Development Cost Split'!B12))</f>
        <v>21.233999999999998</v>
      </c>
      <c r="H12" s="363"/>
      <c r="I12" s="89">
        <f>SUMIFS('DPC and SIPR Cost Calculations'!$G$6:$G$36,'DPC and SIPR Cost Calculations'!$C$6:$C$36,'Final Development Cost Split'!C12,'DPC and SIPR Cost Calculations'!$B$6:$B$36,'Final Development Cost Split'!B12)</f>
        <v>6.55</v>
      </c>
      <c r="J12" s="366"/>
      <c r="K12" s="89">
        <f>J11*D12</f>
        <v>3.6221478000000005</v>
      </c>
      <c r="L12" s="366"/>
      <c r="M12" s="356"/>
      <c r="N12" s="90">
        <f>M11*D12</f>
        <v>19.355898135758757</v>
      </c>
      <c r="O12" s="90">
        <f t="shared" si="0"/>
        <v>-1.8781018642412413</v>
      </c>
      <c r="P12" s="158" t="s">
        <v>293</v>
      </c>
    </row>
    <row r="13" spans="1:40" s="22" customFormat="1" ht="26.25">
      <c r="A13" s="368">
        <v>6</v>
      </c>
      <c r="B13" s="39" t="s">
        <v>133</v>
      </c>
      <c r="C13" s="39" t="s">
        <v>65</v>
      </c>
      <c r="D13" s="145">
        <v>0.57999999999999996</v>
      </c>
      <c r="E13" s="144" t="s">
        <v>60</v>
      </c>
      <c r="F13" s="361">
        <f>SUM(G13:G14)</f>
        <v>68.018000000000001</v>
      </c>
      <c r="G13" s="117">
        <f>IF(SUMIF('F_Input Override'!$C$45:$C$46,B13,'F_Input Override'!$K$45:$K$46)&gt;0,SUMIF('F_Input Override'!$C$45:$C$46,B13,'F_Input Override'!$K$45:$K$46),SUMIFS(Inputs!$I$4:$I$42,Inputs!$B$4:$B$42,'Final Development Cost Split'!B13,Inputs!$A$4:$A$42,'Final Development Cost Split'!C13)+SUMIFS(Other_Inputs!$I$4:$I$7,Other_Inputs!$B$4:$B$7,'Final Development Cost Split'!B13))</f>
        <v>33.622</v>
      </c>
      <c r="H13" s="361">
        <f>SUM(I13:I14)</f>
        <v>10.210000000000001</v>
      </c>
      <c r="I13" s="89">
        <f>SUMIFS('DPC and SIPR Cost Calculations'!$G$6:$G$36,'DPC and SIPR Cost Calculations'!$C$6:$C$36,'Final Development Cost Split'!C13,'DPC and SIPR Cost Calculations'!$B$6:$B$36,'Final Development Cost Split'!B13)</f>
        <v>5.9218000000000002</v>
      </c>
      <c r="J13" s="364">
        <f>SUMIFS('DPC and SIPR Cost Calculations'!$H$6:$H$36,'DPC and SIPR Cost Calculations'!$B$6:$B$36,'Final Development Cost Split'!B13)</f>
        <v>12.046333000000001</v>
      </c>
      <c r="K13" s="89">
        <f>J13*D13</f>
        <v>6.9868731400000001</v>
      </c>
      <c r="L13" s="364">
        <f>_xlfn.XLOOKUP(B13,'Development Cost Calculations'!$B$9:$B$36,'Development Cost Calculations'!$Q$9:$Q$36)</f>
        <v>71.474236691420117</v>
      </c>
      <c r="M13" s="355">
        <f>L13+J13</f>
        <v>83.520569691420121</v>
      </c>
      <c r="N13" s="90">
        <f>M13*D13</f>
        <v>48.44193042102367</v>
      </c>
      <c r="O13" s="90">
        <f t="shared" si="0"/>
        <v>14.81993042102367</v>
      </c>
      <c r="P13" s="158" t="s">
        <v>294</v>
      </c>
    </row>
    <row r="14" spans="1:40" s="22" customFormat="1" ht="26.25">
      <c r="A14" s="368"/>
      <c r="B14" s="39" t="s">
        <v>133</v>
      </c>
      <c r="C14" s="39" t="s">
        <v>69</v>
      </c>
      <c r="D14" s="145">
        <v>0.42</v>
      </c>
      <c r="E14" s="144" t="s">
        <v>60</v>
      </c>
      <c r="F14" s="363"/>
      <c r="G14" s="117">
        <f>IF(SUMIF('F_Input Override'!$C$45:$C$46,B14,'F_Input Override'!$K$45:$K$46)&gt;0,SUMIF('F_Input Override'!$C$45:$C$46,B14,'F_Input Override'!$K$45:$K$46),SUMIFS(Inputs!$I$4:$I$42,Inputs!$B$4:$B$42,'Final Development Cost Split'!B14,Inputs!$A$4:$A$42,'Final Development Cost Split'!C14)+SUMIFS(Other_Inputs!$I$4:$I$7,Other_Inputs!$B$4:$B$7,'Final Development Cost Split'!B14))</f>
        <v>34.396000000000001</v>
      </c>
      <c r="H14" s="363"/>
      <c r="I14" s="89">
        <f>SUMIFS('DPC and SIPR Cost Calculations'!$G$6:$G$36,'DPC and SIPR Cost Calculations'!$C$6:$C$36,'Final Development Cost Split'!C14,'DPC and SIPR Cost Calculations'!$B$6:$B$36,'Final Development Cost Split'!B14)</f>
        <v>4.2881999999999998</v>
      </c>
      <c r="J14" s="366"/>
      <c r="K14" s="89">
        <f>J13*D14</f>
        <v>5.0594598600000005</v>
      </c>
      <c r="L14" s="366"/>
      <c r="M14" s="356"/>
      <c r="N14" s="90">
        <f>M13*D14</f>
        <v>35.078639270396451</v>
      </c>
      <c r="O14" s="90">
        <f t="shared" si="0"/>
        <v>0.68263927039645012</v>
      </c>
      <c r="P14" s="158" t="s">
        <v>294</v>
      </c>
    </row>
    <row r="15" spans="1:40" s="265" customFormat="1" ht="26.25">
      <c r="A15" s="33">
        <v>7</v>
      </c>
      <c r="B15" s="39" t="s">
        <v>139</v>
      </c>
      <c r="C15" s="39" t="s">
        <v>66</v>
      </c>
      <c r="D15" s="145">
        <v>1</v>
      </c>
      <c r="E15" s="144" t="s">
        <v>60</v>
      </c>
      <c r="F15" s="87">
        <f>SUM(G15)</f>
        <v>84.478999999999999</v>
      </c>
      <c r="G15" s="117">
        <f>IF(SUMIF('F_Input Override'!$C$45:$C$46,B15,'F_Input Override'!$K$45:$K$46)&gt;0,SUMIF('F_Input Override'!$C$45:$C$46,B15,'F_Input Override'!$K$45:$K$46),SUMIFS(Inputs!$I$4:$I$42,Inputs!$B$4:$B$42,'Final Development Cost Split'!B15,Inputs!$A$4:$A$42,'Final Development Cost Split'!C15)+SUMIFS(Other_Inputs!$I$4:$I$7,Other_Inputs!$B$4:$B$7,'Final Development Cost Split'!B15))</f>
        <v>84.478999999999999</v>
      </c>
      <c r="H15" s="87">
        <f>SUM(I15)</f>
        <v>0</v>
      </c>
      <c r="I15" s="89">
        <f>SUMIFS('DPC and SIPR Cost Calculations'!$G$6:$G$36,'DPC and SIPR Cost Calculations'!$C$6:$C$36,'Final Development Cost Split'!C15,'DPC and SIPR Cost Calculations'!$B$6:$B$36,'Final Development Cost Split'!B15)</f>
        <v>0</v>
      </c>
      <c r="J15" s="88">
        <f>SUMIFS('DPC and SIPR Cost Calculations'!$H$6:$H$36,'DPC and SIPR Cost Calculations'!$B$6:$B$36,'Final Development Cost Split'!B15)</f>
        <v>12.222670000000001</v>
      </c>
      <c r="K15" s="88">
        <f>J15*D15</f>
        <v>12.222670000000001</v>
      </c>
      <c r="L15" s="89">
        <f>_xlfn.XLOOKUP(B15,'Development Cost Calculations'!$B$9:$B$36,'Development Cost Calculations'!$Q$9:$Q$36)</f>
        <v>66.326799152038319</v>
      </c>
      <c r="M15" s="92">
        <f>L15+J15</f>
        <v>78.549469152038313</v>
      </c>
      <c r="N15" s="92">
        <f>M15*D15</f>
        <v>78.549469152038313</v>
      </c>
      <c r="O15" s="90">
        <f t="shared" si="0"/>
        <v>-5.9295308479616864</v>
      </c>
      <c r="P15" s="158" t="s">
        <v>295</v>
      </c>
    </row>
    <row r="16" spans="1:40" s="22" customFormat="1" ht="26.25">
      <c r="A16" s="368">
        <v>8</v>
      </c>
      <c r="B16" s="39" t="s">
        <v>131</v>
      </c>
      <c r="C16" s="39" t="s">
        <v>65</v>
      </c>
      <c r="D16" s="145">
        <v>0.58199999999999996</v>
      </c>
      <c r="E16" s="144" t="s">
        <v>60</v>
      </c>
      <c r="F16" s="361">
        <f>SUM(G16:G17)</f>
        <v>28.552</v>
      </c>
      <c r="G16" s="117">
        <f>IF(SUMIF('F_Input Override'!$C$45:$C$46,B16,'F_Input Override'!$K$45:$K$46)&gt;0,SUMIF('F_Input Override'!$C$45:$C$46,B16,'F_Input Override'!$K$45:$K$46),SUMIFS(Inputs!$I$4:$I$42,Inputs!$B$4:$B$42,'Final Development Cost Split'!B16,Inputs!$A$4:$A$42,'Final Development Cost Split'!C16)+SUMIFS(Other_Inputs!$I$4:$I$7,Other_Inputs!$B$4:$B$7,'Final Development Cost Split'!B16))</f>
        <v>15.379999999999999</v>
      </c>
      <c r="H16" s="361">
        <f>SUM(I16:I17)</f>
        <v>9.08</v>
      </c>
      <c r="I16" s="89">
        <f>SUMIFS('DPC and SIPR Cost Calculations'!$G$6:$G$36,'DPC and SIPR Cost Calculations'!$C$6:$C$36,'Final Development Cost Split'!C16,'DPC and SIPR Cost Calculations'!$B$6:$B$36,'Final Development Cost Split'!B16)</f>
        <v>5.2845599999999999</v>
      </c>
      <c r="J16" s="364">
        <f>SUMIFS('DPC and SIPR Cost Calculations'!$H$6:$H$36,'DPC and SIPR Cost Calculations'!$B$6:$B$36,'Final Development Cost Split'!B16)</f>
        <v>9.094521499999999</v>
      </c>
      <c r="K16" s="89">
        <f>J16*D16</f>
        <v>5.2930115129999988</v>
      </c>
      <c r="L16" s="364">
        <f>_xlfn.XLOOKUP(B16,'Development Cost Calculations'!$B$9:$B$36,'Development Cost Calculations'!$Q$9:$Q$36)</f>
        <v>22.451599999999999</v>
      </c>
      <c r="M16" s="355">
        <f>L16+J16</f>
        <v>31.546121499999998</v>
      </c>
      <c r="N16" s="90">
        <f>M16*D16</f>
        <v>18.359842712999999</v>
      </c>
      <c r="O16" s="90">
        <f>N16-G16</f>
        <v>2.979842713</v>
      </c>
      <c r="P16" s="158" t="s">
        <v>296</v>
      </c>
    </row>
    <row r="17" spans="1:16" s="22" customFormat="1" ht="26.25">
      <c r="A17" s="368"/>
      <c r="B17" s="39" t="s">
        <v>131</v>
      </c>
      <c r="C17" s="39" t="s">
        <v>69</v>
      </c>
      <c r="D17" s="145">
        <v>0.41799999999999998</v>
      </c>
      <c r="E17" s="144" t="s">
        <v>60</v>
      </c>
      <c r="F17" s="363"/>
      <c r="G17" s="117">
        <f>IF(SUMIF('F_Input Override'!$C$45:$C$46,B17,'F_Input Override'!$K$45:$K$46)&gt;0,SUMIF('F_Input Override'!$C$45:$C$46,B17,'F_Input Override'!$K$45:$K$46),SUMIFS(Inputs!$I$4:$I$42,Inputs!$B$4:$B$42,'Final Development Cost Split'!B17,Inputs!$A$4:$A$42,'Final Development Cost Split'!C17)+SUMIFS(Other_Inputs!$I$4:$I$7,Other_Inputs!$B$4:$B$7,'Final Development Cost Split'!B17))</f>
        <v>13.172000000000001</v>
      </c>
      <c r="H17" s="363"/>
      <c r="I17" s="89">
        <f>SUMIFS('DPC and SIPR Cost Calculations'!$G$6:$G$36,'DPC and SIPR Cost Calculations'!$C$6:$C$36,'Final Development Cost Split'!C17,'DPC and SIPR Cost Calculations'!$B$6:$B$36,'Final Development Cost Split'!B17)</f>
        <v>3.7954399999999997</v>
      </c>
      <c r="J17" s="366"/>
      <c r="K17" s="89">
        <f>J16*D17</f>
        <v>3.8015099869999993</v>
      </c>
      <c r="L17" s="366"/>
      <c r="M17" s="356"/>
      <c r="N17" s="90">
        <f>M16*D17</f>
        <v>13.186278786999999</v>
      </c>
      <c r="O17" s="90">
        <f t="shared" si="0"/>
        <v>1.4278786999998516E-2</v>
      </c>
      <c r="P17" s="158" t="s">
        <v>296</v>
      </c>
    </row>
    <row r="18" spans="1:16" s="22" customFormat="1">
      <c r="A18" s="368">
        <v>9</v>
      </c>
      <c r="B18" s="39" t="s">
        <v>108</v>
      </c>
      <c r="C18" s="39" t="s">
        <v>64</v>
      </c>
      <c r="D18" s="145">
        <f>2/3</f>
        <v>0.66666666666666663</v>
      </c>
      <c r="E18" s="144" t="s">
        <v>60</v>
      </c>
      <c r="F18" s="361">
        <f>SUM(G18:G19)</f>
        <v>17.445</v>
      </c>
      <c r="G18" s="117">
        <f>IF(SUMIF('F_Input Override'!$C$45:$C$46,B18,'F_Input Override'!$K$45:$K$46)&gt;0,SUMIF('F_Input Override'!$C$45:$C$46,B18,'F_Input Override'!$K$45:$K$46),SUMIFS(Inputs!$I$4:$I$42,Inputs!$B$4:$B$42,'Final Development Cost Split'!B18,Inputs!$A$4:$A$42,'Final Development Cost Split'!C18)+SUMIFS(Other_Inputs!$I$4:$I$7,Other_Inputs!$B$4:$B$7,'Final Development Cost Split'!B18))</f>
        <v>11.63</v>
      </c>
      <c r="H18" s="361">
        <f>SUM(I18:I19)</f>
        <v>0</v>
      </c>
      <c r="I18" s="89">
        <f>SUMIFS('DPC and SIPR Cost Calculations'!$G$6:$G$36,'DPC and SIPR Cost Calculations'!$C$6:$C$36,'Final Development Cost Split'!C18,'DPC and SIPR Cost Calculations'!$B$6:$B$36,'Final Development Cost Split'!B18)</f>
        <v>0</v>
      </c>
      <c r="J18" s="364">
        <f>SUMIFS('DPC and SIPR Cost Calculations'!$H$6:$H$36,'DPC and SIPR Cost Calculations'!$B$6:$B$36,'Final Development Cost Split'!B18)</f>
        <v>0</v>
      </c>
      <c r="K18" s="89">
        <f>J18*D18</f>
        <v>0</v>
      </c>
      <c r="L18" s="364">
        <f>_xlfn.XLOOKUP(B18,'Development Cost Calculations'!$B$9:$B$36,'Development Cost Calculations'!$Q$9:$Q$36)</f>
        <v>15.645923220746083</v>
      </c>
      <c r="M18" s="355">
        <f>L18+J18</f>
        <v>15.645923220746083</v>
      </c>
      <c r="N18" s="90">
        <f>M18*D18</f>
        <v>10.430615480497387</v>
      </c>
      <c r="O18" s="90">
        <f t="shared" si="0"/>
        <v>-1.1993845195026136</v>
      </c>
      <c r="P18" s="158" t="s">
        <v>297</v>
      </c>
    </row>
    <row r="19" spans="1:16" s="22" customFormat="1">
      <c r="A19" s="368"/>
      <c r="B19" s="39" t="s">
        <v>108</v>
      </c>
      <c r="C19" s="39" t="s">
        <v>71</v>
      </c>
      <c r="D19" s="145">
        <f>1/3</f>
        <v>0.33333333333333331</v>
      </c>
      <c r="E19" s="144" t="s">
        <v>60</v>
      </c>
      <c r="F19" s="363"/>
      <c r="G19" s="117">
        <f>IF(SUMIF('F_Input Override'!$C$45:$C$46,B19,'F_Input Override'!$K$45:$K$46)&gt;0,SUMIF('F_Input Override'!$C$45:$C$46,B19,'F_Input Override'!$K$45:$K$46),SUMIFS(Inputs!$I$4:$I$42,Inputs!$B$4:$B$42,'Final Development Cost Split'!B19,Inputs!$A$4:$A$42,'Final Development Cost Split'!C19)+SUMIFS(Other_Inputs!$I$4:$I$7,Other_Inputs!$B$4:$B$7,'Final Development Cost Split'!B19))</f>
        <v>5.8150000000000004</v>
      </c>
      <c r="H19" s="363"/>
      <c r="I19" s="89">
        <f>SUMIFS('DPC and SIPR Cost Calculations'!$G$6:$G$36,'DPC and SIPR Cost Calculations'!$C$6:$C$36,'Final Development Cost Split'!C19,'DPC and SIPR Cost Calculations'!$B$6:$B$36,'Final Development Cost Split'!B19)</f>
        <v>0</v>
      </c>
      <c r="J19" s="366"/>
      <c r="K19" s="89">
        <f>J18*D19</f>
        <v>0</v>
      </c>
      <c r="L19" s="366"/>
      <c r="M19" s="356"/>
      <c r="N19" s="90">
        <f>M18*D19</f>
        <v>5.2153077402486936</v>
      </c>
      <c r="O19" s="90">
        <f t="shared" si="0"/>
        <v>-0.5996922597513068</v>
      </c>
      <c r="P19" s="158" t="s">
        <v>297</v>
      </c>
    </row>
    <row r="20" spans="1:16" s="22" customFormat="1" ht="26.25">
      <c r="A20" s="368">
        <v>10</v>
      </c>
      <c r="B20" s="39" t="s">
        <v>106</v>
      </c>
      <c r="C20" s="39" t="s">
        <v>64</v>
      </c>
      <c r="D20" s="145">
        <v>0.5</v>
      </c>
      <c r="E20" s="144" t="s">
        <v>60</v>
      </c>
      <c r="F20" s="361">
        <f>SUM(G20:G21)</f>
        <v>42.407000000000004</v>
      </c>
      <c r="G20" s="117">
        <f>IF(SUMIF('F_Input Override'!$C$45:$C$46,B20,'F_Input Override'!$K$45:$K$46)&gt;0,SUMIF('F_Input Override'!$C$45:$C$46,B20,'F_Input Override'!$K$45:$K$46),SUMIFS(Inputs!$I$4:$I$42,Inputs!$B$4:$B$42,'Final Development Cost Split'!B20,Inputs!$A$4:$A$42,'Final Development Cost Split'!C20)+SUMIFS(Other_Inputs!$I$4:$I$7,Other_Inputs!$B$4:$B$7,'Final Development Cost Split'!B20))</f>
        <v>17.57</v>
      </c>
      <c r="H20" s="361">
        <f>SUM(I20:I21)</f>
        <v>14.85</v>
      </c>
      <c r="I20" s="89">
        <f>SUMIFS('DPC and SIPR Cost Calculations'!$G$6:$G$36,'DPC and SIPR Cost Calculations'!$C$6:$C$36,'Final Development Cost Split'!C20,'DPC and SIPR Cost Calculations'!$B$6:$B$36,'Final Development Cost Split'!B20)</f>
        <v>7.4249999999999998</v>
      </c>
      <c r="J20" s="364">
        <f>SUMIFS('DPC and SIPR Cost Calculations'!$H$6:$H$36,'DPC and SIPR Cost Calculations'!$B$6:$B$36,'Final Development Cost Split'!B20)</f>
        <v>11.3090195</v>
      </c>
      <c r="K20" s="89">
        <f>J20*D20</f>
        <v>5.6545097499999999</v>
      </c>
      <c r="L20" s="364">
        <f>_xlfn.XLOOKUP(B20,'Development Cost Calculations'!$B$9:$B$36,'Development Cost Calculations'!$Q$9:$Q$36)</f>
        <v>27.204319999999999</v>
      </c>
      <c r="M20" s="355">
        <f>L20+J20</f>
        <v>38.513339500000001</v>
      </c>
      <c r="N20" s="90">
        <f>M20*D20</f>
        <v>19.25666975</v>
      </c>
      <c r="O20" s="90">
        <f t="shared" si="0"/>
        <v>1.6866697500000001</v>
      </c>
      <c r="P20" s="158" t="s">
        <v>298</v>
      </c>
    </row>
    <row r="21" spans="1:16" s="22" customFormat="1" ht="26.25">
      <c r="A21" s="368"/>
      <c r="B21" s="39" t="s">
        <v>106</v>
      </c>
      <c r="C21" s="39" t="s">
        <v>71</v>
      </c>
      <c r="D21" s="145">
        <v>0.5</v>
      </c>
      <c r="E21" s="144" t="s">
        <v>60</v>
      </c>
      <c r="F21" s="363"/>
      <c r="G21" s="117">
        <f>IF(SUMIF('F_Input Override'!$C$45:$C$46,B21,'F_Input Override'!$K$45:$K$46)&gt;0,SUMIF('F_Input Override'!$C$45:$C$46,B21,'F_Input Override'!$K$45:$K$46),SUMIFS(Inputs!$I$4:$I$42,Inputs!$B$4:$B$42,'Final Development Cost Split'!B21,Inputs!$A$4:$A$42,'Final Development Cost Split'!C21)+SUMIFS(Other_Inputs!$I$4:$I$7,Other_Inputs!$B$4:$B$7,'Final Development Cost Split'!B21))</f>
        <v>24.837000000000003</v>
      </c>
      <c r="H21" s="363"/>
      <c r="I21" s="89">
        <f>SUMIFS('DPC and SIPR Cost Calculations'!$G$6:$G$36,'DPC and SIPR Cost Calculations'!$C$6:$C$36,'Final Development Cost Split'!C21,'DPC and SIPR Cost Calculations'!$B$6:$B$36,'Final Development Cost Split'!B21)</f>
        <v>7.4249999999999998</v>
      </c>
      <c r="J21" s="366"/>
      <c r="K21" s="89">
        <f>J20*D21</f>
        <v>5.6545097499999999</v>
      </c>
      <c r="L21" s="366"/>
      <c r="M21" s="356"/>
      <c r="N21" s="90">
        <f>M20*D21</f>
        <v>19.25666975</v>
      </c>
      <c r="O21" s="90">
        <f t="shared" si="0"/>
        <v>-5.5803302500000029</v>
      </c>
      <c r="P21" s="158" t="s">
        <v>298</v>
      </c>
    </row>
    <row r="22" spans="1:16" s="22" customFormat="1">
      <c r="A22" s="32">
        <v>11</v>
      </c>
      <c r="B22" s="39" t="s">
        <v>141</v>
      </c>
      <c r="C22" s="39" t="s">
        <v>67</v>
      </c>
      <c r="D22" s="145">
        <v>1</v>
      </c>
      <c r="E22" s="144" t="s">
        <v>60</v>
      </c>
      <c r="F22" s="88">
        <f>SUM(G22)</f>
        <v>31.913</v>
      </c>
      <c r="G22" s="117">
        <f>IF(SUMIF('F_Input Override'!$C$45:$C$46,B22,'F_Input Override'!$K$45:$K$46)&gt;0,SUMIF('F_Input Override'!$C$45:$C$46,B22,'F_Input Override'!$K$45:$K$46),SUMIFS(Inputs!$I$4:$I$42,Inputs!$B$4:$B$42,'Final Development Cost Split'!B22,Inputs!$A$4:$A$42,'Final Development Cost Split'!C22)+SUMIFS(Other_Inputs!$I$4:$I$7,Other_Inputs!$B$4:$B$7,'Final Development Cost Split'!B22))</f>
        <v>31.913</v>
      </c>
      <c r="H22" s="88">
        <f>SUM(I22)</f>
        <v>12.1</v>
      </c>
      <c r="I22" s="89">
        <f>SUMIFS('DPC and SIPR Cost Calculations'!$G$6:$G$36,'DPC and SIPR Cost Calculations'!$C$6:$C$36,'Final Development Cost Split'!C22,'DPC and SIPR Cost Calculations'!$B$6:$B$36,'Final Development Cost Split'!B22)</f>
        <v>12.1</v>
      </c>
      <c r="J22" s="89">
        <f>SUMIFS('DPC and SIPR Cost Calculations'!$H$6:$H$36,'DPC and SIPR Cost Calculations'!$B$6:$B$36,'Final Development Cost Split'!B22)</f>
        <v>6.6169691200000003</v>
      </c>
      <c r="K22" s="89">
        <f>J22*D22</f>
        <v>6.6169691200000003</v>
      </c>
      <c r="L22" s="89">
        <f>_xlfn.XLOOKUP(B22,'Development Cost Calculations'!$B$9:$B$36,'Development Cost Calculations'!$Q$9:$Q$36)</f>
        <v>30.709230073887461</v>
      </c>
      <c r="M22" s="90">
        <f>L22+J22</f>
        <v>37.326199193887462</v>
      </c>
      <c r="N22" s="90">
        <f>M22*D22</f>
        <v>37.326199193887462</v>
      </c>
      <c r="O22" s="90">
        <f t="shared" si="0"/>
        <v>5.4131991938874613</v>
      </c>
      <c r="P22" s="158" t="s">
        <v>299</v>
      </c>
    </row>
    <row r="23" spans="1:16" s="22" customFormat="1">
      <c r="A23" s="32">
        <v>12</v>
      </c>
      <c r="B23" s="39" t="s">
        <v>120</v>
      </c>
      <c r="C23" s="39" t="s">
        <v>74</v>
      </c>
      <c r="D23" s="145">
        <v>1</v>
      </c>
      <c r="E23" s="144" t="s">
        <v>60</v>
      </c>
      <c r="F23" s="88">
        <f>SUM(G23)</f>
        <v>60.95</v>
      </c>
      <c r="G23" s="117">
        <f>IF(SUMIF('F_Input Override'!$C$45:$C$46,B23,'F_Input Override'!$K$45:$K$46)&gt;0,SUMIF('F_Input Override'!$C$45:$C$46,B23,'F_Input Override'!$K$45:$K$46),SUMIFS(Inputs!$I$4:$I$42,Inputs!$B$4:$B$42,'Final Development Cost Split'!B23,Inputs!$A$4:$A$42,'Final Development Cost Split'!C23)+SUMIFS(Other_Inputs!$I$4:$I$7,Other_Inputs!$B$4:$B$7,'Final Development Cost Split'!B23))</f>
        <v>60.95</v>
      </c>
      <c r="H23" s="88">
        <f>SUM(I23)</f>
        <v>21.36</v>
      </c>
      <c r="I23" s="89">
        <f>SUMIFS('DPC and SIPR Cost Calculations'!$G$6:$G$36,'DPC and SIPR Cost Calculations'!$C$6:$C$36,'Final Development Cost Split'!C23,'DPC and SIPR Cost Calculations'!$B$6:$B$36,'Final Development Cost Split'!B23)</f>
        <v>21.36</v>
      </c>
      <c r="J23" s="89">
        <f>SUMIFS('DPC and SIPR Cost Calculations'!$H$6:$H$36,'DPC and SIPR Cost Calculations'!$B$6:$B$36,'Final Development Cost Split'!B23)</f>
        <v>11.002148500000001</v>
      </c>
      <c r="K23" s="89">
        <f>J23*D23</f>
        <v>11.002148500000001</v>
      </c>
      <c r="L23" s="89">
        <f>_xlfn.XLOOKUP(B23,'Development Cost Calculations'!$B$9:$B$36,'Development Cost Calculations'!$Q$9:$Q$36)</f>
        <v>39.155325168183687</v>
      </c>
      <c r="M23" s="90">
        <f>L23+J23</f>
        <v>50.157473668183684</v>
      </c>
      <c r="N23" s="90">
        <f>M23*D23</f>
        <v>50.157473668183684</v>
      </c>
      <c r="O23" s="90">
        <f t="shared" si="0"/>
        <v>-10.792526331816319</v>
      </c>
      <c r="P23" s="158" t="s">
        <v>300</v>
      </c>
    </row>
    <row r="24" spans="1:16" s="22" customFormat="1">
      <c r="A24" s="368" t="s">
        <v>301</v>
      </c>
      <c r="B24" s="39" t="s">
        <v>118</v>
      </c>
      <c r="C24" s="39" t="s">
        <v>63</v>
      </c>
      <c r="D24" s="145">
        <v>0.1</v>
      </c>
      <c r="E24" s="144" t="s">
        <v>60</v>
      </c>
      <c r="F24" s="361">
        <f>SUM(G24:G26)</f>
        <v>17.016999999999999</v>
      </c>
      <c r="G24" s="117">
        <f>IF(SUMIF('F_Input Override'!$C$45:$C$46,B24,'F_Input Override'!$K$45:$K$46)&gt;0,SUMIF('F_Input Override'!$C$45:$C$46,B24,'F_Input Override'!$K$45:$K$46),SUMIFS(Inputs!$I$4:$I$42,Inputs!$B$4:$B$42,'Final Development Cost Split'!B24,Inputs!$A$4:$A$42,'Final Development Cost Split'!C24)+SUMIFS(Other_Inputs!$I$4:$I$7,Other_Inputs!$B$4:$B$7,'Final Development Cost Split'!B24))</f>
        <v>2.8899999999999997</v>
      </c>
      <c r="H24" s="361">
        <f>SUM(I24:I26)</f>
        <v>1.35</v>
      </c>
      <c r="I24" s="89">
        <f>SUMIFS('DPC and SIPR Cost Calculations'!$G$6:$G$36,'DPC and SIPR Cost Calculations'!$C$6:$C$36,'Final Development Cost Split'!C24,'DPC and SIPR Cost Calculations'!$B$6:$B$36,'Final Development Cost Split'!B24)</f>
        <v>0</v>
      </c>
      <c r="J24" s="364">
        <f>SUMIFS('DPC and SIPR Cost Calculations'!$H$6:$H$36,'DPC and SIPR Cost Calculations'!$B$6:$B$36,'Final Development Cost Split'!B24)</f>
        <v>4.7925979999999999</v>
      </c>
      <c r="K24" s="89">
        <v>0</v>
      </c>
      <c r="L24" s="364">
        <f>_xlfn.XLOOKUP(B24,'Development Cost Calculations'!$B$9:$B$36,'Development Cost Calculations'!$Q$9:$Q$36)</f>
        <v>20.956660000000007</v>
      </c>
      <c r="M24" s="355">
        <f>L24+J24</f>
        <v>25.749258000000005</v>
      </c>
      <c r="N24" s="90">
        <v>3.8029999999999999</v>
      </c>
      <c r="O24" s="90">
        <f t="shared" si="0"/>
        <v>0.91300000000000026</v>
      </c>
      <c r="P24" s="158" t="s">
        <v>302</v>
      </c>
    </row>
    <row r="25" spans="1:16" s="22" customFormat="1">
      <c r="A25" s="368"/>
      <c r="B25" s="39" t="s">
        <v>118</v>
      </c>
      <c r="C25" s="39" t="s">
        <v>68</v>
      </c>
      <c r="D25" s="145">
        <v>0</v>
      </c>
      <c r="E25" s="144" t="s">
        <v>60</v>
      </c>
      <c r="F25" s="362"/>
      <c r="G25" s="117">
        <f>IF(SUMIF('F_Input Override'!$C$45:$C$46,B25,'F_Input Override'!$K$45:$K$46)&gt;0,SUMIF('F_Input Override'!$C$45:$C$46,B25,'F_Input Override'!$K$45:$K$46),SUMIFS(Inputs!$I$4:$I$42,Inputs!$B$4:$B$42,'Final Development Cost Split'!B25,Inputs!$A$4:$A$42,'Final Development Cost Split'!C25)+SUMIFS(Other_Inputs!$I$4:$I$7,Other_Inputs!$B$4:$B$7,'Final Development Cost Split'!B25))</f>
        <v>1.6999999999999997</v>
      </c>
      <c r="H25" s="362"/>
      <c r="I25" s="89">
        <f>SUMIFS('DPC and SIPR Cost Calculations'!$G$6:$G$36,'DPC and SIPR Cost Calculations'!$C$6:$C$36,'Final Development Cost Split'!C25,'DPC and SIPR Cost Calculations'!$B$6:$B$36,'Final Development Cost Split'!B25)</f>
        <v>0</v>
      </c>
      <c r="J25" s="365"/>
      <c r="K25" s="89">
        <f>J25*D25</f>
        <v>0</v>
      </c>
      <c r="L25" s="365"/>
      <c r="M25" s="367"/>
      <c r="N25" s="90">
        <v>2.4398</v>
      </c>
      <c r="O25" s="90">
        <f t="shared" si="0"/>
        <v>0.73980000000000024</v>
      </c>
      <c r="P25" s="158" t="s">
        <v>302</v>
      </c>
    </row>
    <row r="26" spans="1:16" s="22" customFormat="1" ht="26.25">
      <c r="A26" s="368"/>
      <c r="B26" s="39" t="s">
        <v>118</v>
      </c>
      <c r="C26" s="39" t="s">
        <v>70</v>
      </c>
      <c r="D26" s="145">
        <v>0.9</v>
      </c>
      <c r="E26" s="144" t="s">
        <v>60</v>
      </c>
      <c r="F26" s="363"/>
      <c r="G26" s="117">
        <f>IF(SUMIF('F_Input Override'!$C$45:$C$46,B26,'F_Input Override'!$K$45:$K$46)&gt;0,SUMIF('F_Input Override'!$C$45:$C$46,B26,'F_Input Override'!$K$45:$K$46),SUMIFS(Inputs!$I$4:$I$42,Inputs!$B$4:$B$42,'Final Development Cost Split'!B26,Inputs!$A$4:$A$42,'Final Development Cost Split'!C26)+SUMIFS(Other_Inputs!$I$4:$I$7,Other_Inputs!$B$4:$B$7,'Final Development Cost Split'!B26))</f>
        <v>12.427</v>
      </c>
      <c r="H26" s="363"/>
      <c r="I26" s="89">
        <f>SUMIFS('DPC and SIPR Cost Calculations'!$G$6:$G$36,'DPC and SIPR Cost Calculations'!$C$6:$C$36,'Final Development Cost Split'!C26,'DPC and SIPR Cost Calculations'!$B$6:$B$36,'Final Development Cost Split'!B26)</f>
        <v>1.35</v>
      </c>
      <c r="J26" s="366"/>
      <c r="K26" s="89">
        <v>4.7925979999999999</v>
      </c>
      <c r="L26" s="366"/>
      <c r="M26" s="356"/>
      <c r="N26" s="90">
        <v>19.509440000000001</v>
      </c>
      <c r="O26" s="90">
        <f t="shared" si="0"/>
        <v>7.0824400000000018</v>
      </c>
      <c r="P26" s="158" t="s">
        <v>303</v>
      </c>
    </row>
    <row r="27" spans="1:16" s="22" customFormat="1" ht="26.25">
      <c r="A27" s="32">
        <v>14</v>
      </c>
      <c r="B27" s="39" t="s">
        <v>143</v>
      </c>
      <c r="C27" s="39" t="s">
        <v>67</v>
      </c>
      <c r="D27" s="145">
        <v>1</v>
      </c>
      <c r="E27" s="144" t="s">
        <v>60</v>
      </c>
      <c r="F27" s="88">
        <f>SUM(G27)</f>
        <v>165.16265412422848</v>
      </c>
      <c r="G27" s="117">
        <f>IF(SUMIF('F_Input Override'!$C$45:$C$46,B27,'F_Input Override'!$K$45:$K$46)&gt;0,SUMIF('F_Input Override'!$C$45:$C$46,B27,'F_Input Override'!$K$45:$K$46),SUMIFS(Inputs!$I$4:$I$42,Inputs!$B$4:$B$42,'Final Development Cost Split'!B27,Inputs!$A$4:$A$42,'Final Development Cost Split'!C27)+SUMIFS(Other_Inputs!$I$4:$I$7,Other_Inputs!$B$4:$B$7,'Final Development Cost Split'!B27))</f>
        <v>165.16265412422848</v>
      </c>
      <c r="H27" s="88">
        <f>SUM(I27)</f>
        <v>0</v>
      </c>
      <c r="I27" s="89">
        <f>SUMIFS('DPC and SIPR Cost Calculations'!$G$6:$G$36,'DPC and SIPR Cost Calculations'!$C$6:$C$36,'Final Development Cost Split'!C27,'DPC and SIPR Cost Calculations'!$B$6:$B$36,'Final Development Cost Split'!B27)</f>
        <v>0</v>
      </c>
      <c r="J27" s="89">
        <f>SUMIFS('DPC and SIPR Cost Calculations'!$H$6:$H$36,'DPC and SIPR Cost Calculations'!$B$6:$B$36,'Final Development Cost Split'!B27)</f>
        <v>5.4112139980281455</v>
      </c>
      <c r="K27" s="89">
        <f>J27*D27</f>
        <v>5.4112139980281455</v>
      </c>
      <c r="L27" s="89">
        <f>_xlfn.XLOOKUP(B27,'Development Cost Calculations'!$B$9:$B$36,'Development Cost Calculations'!$Q$9:$Q$36)</f>
        <v>58.152274417573004</v>
      </c>
      <c r="M27" s="90">
        <f>L27+J27</f>
        <v>63.563488415601149</v>
      </c>
      <c r="N27" s="90">
        <f>M27*D27</f>
        <v>63.563488415601149</v>
      </c>
      <c r="O27" s="90">
        <f>N27-G27</f>
        <v>-101.59916570862734</v>
      </c>
      <c r="P27" s="158" t="s">
        <v>304</v>
      </c>
    </row>
    <row r="28" spans="1:16" s="265" customFormat="1" ht="26.25">
      <c r="A28" s="33">
        <v>15</v>
      </c>
      <c r="B28" s="39" t="s">
        <v>110</v>
      </c>
      <c r="C28" s="39" t="s">
        <v>57</v>
      </c>
      <c r="D28" s="145">
        <v>1</v>
      </c>
      <c r="E28" s="156" t="s">
        <v>60</v>
      </c>
      <c r="F28" s="88">
        <f>SUM(G28)</f>
        <v>52.574999999999996</v>
      </c>
      <c r="G28" s="117">
        <f>IF(SUMIF('F_Input Override'!$C$45:$C$46,B28,'F_Input Override'!$K$45:$K$46)&gt;0,SUMIF('F_Input Override'!$C$45:$C$46,B28,'F_Input Override'!$K$45:$K$46),SUMIFS(Inputs!$I$4:$I$42,Inputs!$B$4:$B$42,'Final Development Cost Split'!B28,Inputs!$A$4:$A$42,'Final Development Cost Split'!C28)+SUMIFS(Other_Inputs!$I$4:$I$7,Other_Inputs!$B$4:$B$7,'Final Development Cost Split'!B28))</f>
        <v>52.574999999999996</v>
      </c>
      <c r="H28" s="88">
        <f>SUM(I28)</f>
        <v>8.9700000000000006</v>
      </c>
      <c r="I28" s="88">
        <f>SUMIFS('DPC and SIPR Cost Calculations'!$G$6:$G$36,'DPC and SIPR Cost Calculations'!$C$6:$C$36,'Final Development Cost Split'!C28,'DPC and SIPR Cost Calculations'!$B$6:$B$36,'Final Development Cost Split'!B28)</f>
        <v>8.9700000000000006</v>
      </c>
      <c r="J28" s="88">
        <f>SUMIFS('DPC and SIPR Cost Calculations'!$H$6:$H$36,'DPC and SIPR Cost Calculations'!$B$6:$B$36,'Final Development Cost Split'!B28)</f>
        <v>16.683499999999999</v>
      </c>
      <c r="K28" s="88">
        <f>J28*D28</f>
        <v>16.683499999999999</v>
      </c>
      <c r="L28" s="88">
        <f>_xlfn.XLOOKUP(B28,'Development Cost Calculations'!$B$9:$B$36,'Development Cost Calculations'!$Q$9:$Q$36)</f>
        <v>60.408270734988292</v>
      </c>
      <c r="M28" s="92">
        <f>L28+J28</f>
        <v>77.091770734988287</v>
      </c>
      <c r="N28" s="92">
        <f>M28*D28</f>
        <v>77.091770734988287</v>
      </c>
      <c r="O28" s="92">
        <f t="shared" si="0"/>
        <v>24.516770734988292</v>
      </c>
      <c r="P28" s="158" t="s">
        <v>305</v>
      </c>
    </row>
    <row r="29" spans="1:16" s="22" customFormat="1">
      <c r="A29" s="368" t="s">
        <v>306</v>
      </c>
      <c r="B29" s="39" t="s">
        <v>102</v>
      </c>
      <c r="C29" s="39" t="s">
        <v>67</v>
      </c>
      <c r="D29" s="23">
        <v>0.55000000000000004</v>
      </c>
      <c r="E29" s="144" t="s">
        <v>60</v>
      </c>
      <c r="F29" s="364">
        <f>SUM(G29:G31)</f>
        <v>668.81000000000006</v>
      </c>
      <c r="G29" s="117">
        <f>IF(SUMIF('F_Input Override'!$C$45:$C$46,B29,'F_Input Override'!$K$45:$K$46)&gt;0,SUMIF('F_Input Override'!$C$45:$C$46,B29,'F_Input Override'!$K$45:$K$46),SUMIFS(Inputs!$I$4:$I$42,Inputs!$B$4:$B$42,'Final Development Cost Split'!B29,Inputs!$A$4:$A$42,'Final Development Cost Split'!C29)+SUMIFS(Other_Inputs!$I$4:$I$7,Other_Inputs!$B$4:$B$7,'Final Development Cost Split'!B29))</f>
        <v>562.07000000000005</v>
      </c>
      <c r="H29" s="364">
        <f>SUM(I29:I31)</f>
        <v>77.807057999776802</v>
      </c>
      <c r="I29" s="89">
        <f>SUMIFS('DPC and SIPR Cost Calculations'!$G$40:$G$44,'DPC and SIPR Cost Calculations'!$C$40:$C$44,'Final Development Cost Split'!C29,'DPC and SIPR Cost Calculations'!$B$40:$B$44,'Final Development Cost Split'!B29)</f>
        <v>42.793881899877242</v>
      </c>
      <c r="J29" s="364">
        <f>SUMIFS('DPC and SIPR Cost Calculations'!$H$40:$H$44,'DPC and SIPR Cost Calculations'!$B$40:$B$44,'Final Development Cost Split'!B29)</f>
        <v>77.807057999776802</v>
      </c>
      <c r="K29" s="89">
        <f>J29*D29</f>
        <v>42.793881899877242</v>
      </c>
      <c r="L29" s="364">
        <f>_xlfn.XLOOKUP(B29,'Development Cost Calculations'!$B$9:$B$36,'Development Cost Calculations'!$Q$9:$Q$36)</f>
        <v>345.25115974410238</v>
      </c>
      <c r="M29" s="355">
        <f>L29+J29</f>
        <v>423.0582177438792</v>
      </c>
      <c r="N29" s="113">
        <f>('Development Cost Calculations'!L29+J29)*D29+'Development Cost Calculations'!M29+'Development Cost Calculations'!O29</f>
        <v>316.31684164397967</v>
      </c>
      <c r="O29" s="90">
        <f t="shared" si="0"/>
        <v>-245.75315835602038</v>
      </c>
      <c r="P29" s="158" t="s">
        <v>307</v>
      </c>
    </row>
    <row r="30" spans="1:16" s="22" customFormat="1">
      <c r="A30" s="368"/>
      <c r="B30" s="39" t="s">
        <v>102</v>
      </c>
      <c r="C30" s="39" t="s">
        <v>71</v>
      </c>
      <c r="D30" s="23">
        <v>0.15</v>
      </c>
      <c r="E30" s="144" t="s">
        <v>60</v>
      </c>
      <c r="F30" s="365"/>
      <c r="G30" s="117">
        <f>IF(SUMIF('F_Input Override'!$C$45:$C$46,B30,'F_Input Override'!$K$45:$K$46)&gt;0,SUMIF('F_Input Override'!$C$45:$C$46,B30,'F_Input Override'!$K$45:$K$46),SUMIFS(Inputs!$I$4:$I$42,Inputs!$B$4:$B$42,'Final Development Cost Split'!B30,Inputs!$A$4:$A$42,'Final Development Cost Split'!C30)+SUMIFS(Other_Inputs!$I$4:$I$7,Other_Inputs!$B$4:$B$7,'Final Development Cost Split'!B30))</f>
        <v>35.580000000000005</v>
      </c>
      <c r="H30" s="365"/>
      <c r="I30" s="89">
        <f>SUMIFS('DPC and SIPR Cost Calculations'!$G$40:$G$44,'DPC and SIPR Cost Calculations'!$C$40:$C$44,'Final Development Cost Split'!C30,'DPC and SIPR Cost Calculations'!$B$40:$B$44,'Final Development Cost Split'!B30)</f>
        <v>11.671058699966521</v>
      </c>
      <c r="J30" s="365"/>
      <c r="K30" s="89">
        <f>J29*D30</f>
        <v>11.671058699966521</v>
      </c>
      <c r="L30" s="365"/>
      <c r="M30" s="367"/>
      <c r="N30" s="113">
        <f>('Development Cost Calculations'!L29+J29)*D30</f>
        <v>35.580458699966513</v>
      </c>
      <c r="O30" s="90">
        <f t="shared" si="0"/>
        <v>4.586999665079361E-4</v>
      </c>
      <c r="P30" s="158" t="s">
        <v>127</v>
      </c>
    </row>
    <row r="31" spans="1:16" s="22" customFormat="1">
      <c r="A31" s="368"/>
      <c r="B31" s="39" t="s">
        <v>102</v>
      </c>
      <c r="C31" s="39" t="s">
        <v>66</v>
      </c>
      <c r="D31" s="23">
        <v>0.3</v>
      </c>
      <c r="E31" s="144" t="s">
        <v>60</v>
      </c>
      <c r="F31" s="366"/>
      <c r="G31" s="117">
        <f>IF(SUMIF('F_Input Override'!$C$45:$C$46,B31,'F_Input Override'!$K$45:$K$46)&gt;0,SUMIF('F_Input Override'!$C$45:$C$46,B31,'F_Input Override'!$K$45:$K$46),SUMIFS(Inputs!$I$4:$I$42,Inputs!$B$4:$B$42,'Final Development Cost Split'!B31,Inputs!$A$4:$A$42,'Final Development Cost Split'!C31)+SUMIFS(Other_Inputs!$I$4:$I$7,Other_Inputs!$B$4:$B$7,'Final Development Cost Split'!B31))</f>
        <v>71.160000000000011</v>
      </c>
      <c r="H31" s="366"/>
      <c r="I31" s="89">
        <f>SUMIFS('DPC and SIPR Cost Calculations'!$G$40:$G$44,'DPC and SIPR Cost Calculations'!$C$40:$C$44,'Final Development Cost Split'!C31,'DPC and SIPR Cost Calculations'!$B$40:$B$44,'Final Development Cost Split'!B31)</f>
        <v>23.342117399933041</v>
      </c>
      <c r="J31" s="366"/>
      <c r="K31" s="89">
        <f>J29*D31</f>
        <v>23.342117399933041</v>
      </c>
      <c r="L31" s="366"/>
      <c r="M31" s="356"/>
      <c r="N31" s="118">
        <f>('Development Cost Calculations'!L29+J29)*D31</f>
        <v>71.160917399933027</v>
      </c>
      <c r="O31" s="90">
        <f t="shared" si="0"/>
        <v>9.1739993301587219E-4</v>
      </c>
      <c r="P31" s="158" t="s">
        <v>127</v>
      </c>
    </row>
    <row r="32" spans="1:16" s="22" customFormat="1">
      <c r="A32" s="32">
        <v>17</v>
      </c>
      <c r="B32" s="39" t="s">
        <v>117</v>
      </c>
      <c r="C32" s="39" t="s">
        <v>57</v>
      </c>
      <c r="D32" s="145">
        <v>1</v>
      </c>
      <c r="E32" s="144" t="s">
        <v>60</v>
      </c>
      <c r="F32" s="89">
        <f t="shared" ref="F32:F39" si="1">SUM(G32)</f>
        <v>460.11171800000005</v>
      </c>
      <c r="G32" s="117">
        <f>IF(SUMIF('F_Input Override'!$C$45:$C$46,B32,'F_Input Override'!$K$45:$K$46)&gt;0,SUMIF('F_Input Override'!$C$45:$C$46,B32,'F_Input Override'!$K$45:$K$46),SUMIFS(Inputs!$I$4:$I$42,Inputs!$B$4:$B$42,'Final Development Cost Split'!B32,Inputs!$A$4:$A$42,'Final Development Cost Split'!C32)+SUMIFS(Other_Inputs!$I$4:$I$7,Other_Inputs!$B$4:$B$7,'Final Development Cost Split'!B32))</f>
        <v>460.11171800000005</v>
      </c>
      <c r="H32" s="89">
        <f t="shared" ref="H32:H39" si="2">SUM(I32)</f>
        <v>116.46755022949</v>
      </c>
      <c r="I32" s="89">
        <f>SUMIFS('DPC and SIPR Cost Calculations'!$G$40:$G$44,'DPC and SIPR Cost Calculations'!$C$40:$C$44,'Final Development Cost Split'!C32,'DPC and SIPR Cost Calculations'!$B$40:$B$44,'Final Development Cost Split'!B32)</f>
        <v>116.46755022949</v>
      </c>
      <c r="J32" s="89">
        <f>SUMIFS('DPC and SIPR Cost Calculations'!$H$40:$H$44,'DPC and SIPR Cost Calculations'!$B$40:$B$44,'Final Development Cost Split'!B32)</f>
        <v>116.46755022949</v>
      </c>
      <c r="K32" s="89">
        <f t="shared" ref="K32:K40" si="3">J32*D32</f>
        <v>116.46755022949</v>
      </c>
      <c r="L32" s="89">
        <f>_xlfn.XLOOKUP(B32,'Development Cost Calculations'!$B$9:$B$36,'Development Cost Calculations'!$Q$9:$Q$36)</f>
        <v>343.64416615000005</v>
      </c>
      <c r="M32" s="90">
        <f t="shared" ref="M32:M40" si="4">L32+J32</f>
        <v>460.11171637949008</v>
      </c>
      <c r="N32" s="90">
        <f t="shared" ref="N32:N40" si="5">M32*D32</f>
        <v>460.11171637949008</v>
      </c>
      <c r="O32" s="90">
        <f t="shared" si="0"/>
        <v>-1.6205099768740183E-6</v>
      </c>
      <c r="P32" s="158" t="s">
        <v>127</v>
      </c>
    </row>
    <row r="33" spans="1:16" s="22" customFormat="1">
      <c r="A33" s="32">
        <v>18</v>
      </c>
      <c r="B33" s="39" t="s">
        <v>116</v>
      </c>
      <c r="C33" s="39" t="s">
        <v>57</v>
      </c>
      <c r="D33" s="145">
        <v>1</v>
      </c>
      <c r="E33" s="144" t="s">
        <v>60</v>
      </c>
      <c r="F33" s="89">
        <f t="shared" si="1"/>
        <v>193.21815100000001</v>
      </c>
      <c r="G33" s="117">
        <f>IF(SUMIF('F_Input Override'!$C$45:$C$46,B33,'F_Input Override'!$K$45:$K$46)&gt;0,SUMIF('F_Input Override'!$C$45:$C$46,B33,'F_Input Override'!$K$45:$K$46),SUMIFS(Inputs!$I$4:$I$42,Inputs!$B$4:$B$42,'Final Development Cost Split'!B33,Inputs!$A$4:$A$42,'Final Development Cost Split'!C33)+SUMIFS(Other_Inputs!$I$4:$I$7,Other_Inputs!$B$4:$B$7,'Final Development Cost Split'!B33))</f>
        <v>193.21815100000001</v>
      </c>
      <c r="H33" s="89">
        <f t="shared" si="2"/>
        <v>0</v>
      </c>
      <c r="I33" s="89">
        <f>SUMIFS('DPC and SIPR Cost Calculations'!$G$40:$G$44,'DPC and SIPR Cost Calculations'!$C$40:$C$44,'Final Development Cost Split'!C33,'DPC and SIPR Cost Calculations'!$B$40:$B$44,'Final Development Cost Split'!B33)</f>
        <v>0</v>
      </c>
      <c r="J33" s="89">
        <f>SUMIFS('DPC and SIPR Cost Calculations'!$H$40:$H$44,'DPC and SIPR Cost Calculations'!$B$40:$B$44,'Final Development Cost Split'!B33)</f>
        <v>0</v>
      </c>
      <c r="K33" s="89">
        <f t="shared" si="3"/>
        <v>0</v>
      </c>
      <c r="L33" s="89">
        <f>_xlfn.XLOOKUP(B33,'Development Cost Calculations'!$B$9:$B$36,'Development Cost Calculations'!$Q$9:$Q$36)</f>
        <v>193.2189700617044</v>
      </c>
      <c r="M33" s="90">
        <f t="shared" si="4"/>
        <v>193.2189700617044</v>
      </c>
      <c r="N33" s="90">
        <f t="shared" si="5"/>
        <v>193.2189700617044</v>
      </c>
      <c r="O33" s="90">
        <f t="shared" si="0"/>
        <v>8.1906170439083326E-4</v>
      </c>
      <c r="P33" s="158" t="s">
        <v>127</v>
      </c>
    </row>
    <row r="34" spans="1:16" s="22" customFormat="1" ht="26.25">
      <c r="A34" s="32">
        <v>19</v>
      </c>
      <c r="B34" s="39" t="s">
        <v>142</v>
      </c>
      <c r="C34" s="39" t="s">
        <v>67</v>
      </c>
      <c r="D34" s="145">
        <v>1</v>
      </c>
      <c r="E34" s="144" t="s">
        <v>60</v>
      </c>
      <c r="F34" s="89">
        <f t="shared" si="1"/>
        <v>47.946999999999996</v>
      </c>
      <c r="G34" s="117">
        <f>IF(SUMIF('F_Input Override'!$C$45:$C$46,B34,'F_Input Override'!$K$45:$K$46)&gt;0,SUMIF('F_Input Override'!$C$45:$C$46,B34,'F_Input Override'!$K$45:$K$46),SUMIFS(Inputs!$I$4:$I$42,Inputs!$B$4:$B$42,'Final Development Cost Split'!B34,Inputs!$A$4:$A$42,'Final Development Cost Split'!C34)+SUMIFS(Other_Inputs!$I$4:$I$7,Other_Inputs!$B$4:$B$7,'Final Development Cost Split'!B34))</f>
        <v>47.946999999999996</v>
      </c>
      <c r="H34" s="89">
        <f t="shared" si="2"/>
        <v>0</v>
      </c>
      <c r="I34" s="89">
        <f>SUMIFS('DPC and SIPR Cost Calculations'!$G$6:$G$36,'DPC and SIPR Cost Calculations'!$C$6:$C$36,'Final Development Cost Split'!C34,'DPC and SIPR Cost Calculations'!$B$6:$B$36,'Final Development Cost Split'!B34)</f>
        <v>0</v>
      </c>
      <c r="J34" s="89">
        <f>SUMIFS('DPC and SIPR Cost Calculations'!$H$6:$H$36,'DPC and SIPR Cost Calculations'!$B$6:$B$36,'Final Development Cost Split'!B34)</f>
        <v>0</v>
      </c>
      <c r="K34" s="89">
        <f t="shared" si="3"/>
        <v>0</v>
      </c>
      <c r="L34" s="89">
        <f>_xlfn.XLOOKUP(B34,'Development Cost Calculations'!$B$9:$B$36,'Development Cost Calculations'!$Q$9:$Q$36)</f>
        <v>31.050027634884117</v>
      </c>
      <c r="M34" s="90">
        <f t="shared" si="4"/>
        <v>31.050027634884117</v>
      </c>
      <c r="N34" s="90">
        <f t="shared" si="5"/>
        <v>31.050027634884117</v>
      </c>
      <c r="O34" s="90">
        <f t="shared" si="0"/>
        <v>-16.896972365115879</v>
      </c>
      <c r="P34" s="158" t="s">
        <v>308</v>
      </c>
    </row>
    <row r="35" spans="1:16" s="22" customFormat="1" ht="39.4">
      <c r="A35" s="32">
        <v>20</v>
      </c>
      <c r="B35" s="39" t="s">
        <v>144</v>
      </c>
      <c r="C35" s="39" t="s">
        <v>68</v>
      </c>
      <c r="D35" s="145">
        <v>1</v>
      </c>
      <c r="E35" s="144" t="s">
        <v>60</v>
      </c>
      <c r="F35" s="89">
        <f t="shared" si="1"/>
        <v>37.108101895098002</v>
      </c>
      <c r="G35" s="117">
        <f>IF(SUMIF('F_Input Override'!$C$45:$C$46,B35,'F_Input Override'!$K$45:$K$46)&gt;0,SUMIF('F_Input Override'!$C$45:$C$46,B35,'F_Input Override'!$K$45:$K$46),SUMIFS(Inputs!$I$4:$I$42,Inputs!$B$4:$B$42,'Final Development Cost Split'!B35,Inputs!$A$4:$A$42,'Final Development Cost Split'!C35)+SUMIFS(Other_Inputs!$I$4:$I$7,Other_Inputs!$B$4:$B$7,'Final Development Cost Split'!B35))</f>
        <v>37.108101895098002</v>
      </c>
      <c r="H35" s="89">
        <f t="shared" si="2"/>
        <v>10.94</v>
      </c>
      <c r="I35" s="89">
        <f>SUMIFS('DPC and SIPR Cost Calculations'!$G$6:$G$36,'DPC and SIPR Cost Calculations'!$C$6:$C$36,'Final Development Cost Split'!C35,'DPC and SIPR Cost Calculations'!$B$6:$B$36,'Final Development Cost Split'!B35)</f>
        <v>10.94</v>
      </c>
      <c r="J35" s="89">
        <f>SUMIFS('DPC and SIPR Cost Calculations'!$H$6:$H$36,'DPC and SIPR Cost Calculations'!$B$6:$B$36,'Final Development Cost Split'!B35)</f>
        <v>10.91037</v>
      </c>
      <c r="K35" s="89">
        <f t="shared" si="3"/>
        <v>10.91037</v>
      </c>
      <c r="L35" s="89">
        <f>_xlfn.XLOOKUP(B35,'Development Cost Calculations'!$B$9:$B$36,'Development Cost Calculations'!$Q$9:$Q$36)</f>
        <v>15.869205692045027</v>
      </c>
      <c r="M35" s="90">
        <f t="shared" si="4"/>
        <v>26.779575692045029</v>
      </c>
      <c r="N35" s="90">
        <f t="shared" si="5"/>
        <v>26.779575692045029</v>
      </c>
      <c r="O35" s="90">
        <f t="shared" si="0"/>
        <v>-10.328526203052974</v>
      </c>
      <c r="P35" s="215" t="s">
        <v>309</v>
      </c>
    </row>
    <row r="36" spans="1:16" s="22" customFormat="1">
      <c r="A36" s="32">
        <v>21</v>
      </c>
      <c r="B36" s="39" t="s">
        <v>124</v>
      </c>
      <c r="C36" s="39" t="s">
        <v>64</v>
      </c>
      <c r="D36" s="146">
        <v>1</v>
      </c>
      <c r="E36" s="144" t="s">
        <v>60</v>
      </c>
      <c r="F36" s="93">
        <f t="shared" si="1"/>
        <v>1.47</v>
      </c>
      <c r="G36" s="117">
        <f>IF(SUMIF('F_Input Override'!$C$45:$C$46,B36,'F_Input Override'!$K$45:$K$46)&gt;0,SUMIF('F_Input Override'!$C$45:$C$46,B36,'F_Input Override'!$K$45:$K$46),SUMIFS(Inputs!$I$4:$I$42,Inputs!$B$4:$B$42,'Final Development Cost Split'!B36,Inputs!$A$4:$A$42,'Final Development Cost Split'!C36)+SUMIFS(Other_Inputs!$I$4:$I$7,Other_Inputs!$B$4:$B$7,'Final Development Cost Split'!B36))</f>
        <v>1.47</v>
      </c>
      <c r="H36" s="93">
        <f t="shared" si="2"/>
        <v>0</v>
      </c>
      <c r="I36" s="89">
        <f>SUMIFS('DPC and SIPR Cost Calculations'!$G$6:$G$36,'DPC and SIPR Cost Calculations'!$C$6:$C$36,'Final Development Cost Split'!C36,'DPC and SIPR Cost Calculations'!$B$6:$B$36,'Final Development Cost Split'!B36)</f>
        <v>0</v>
      </c>
      <c r="J36" s="89">
        <f>SUMIFS('DPC and SIPR Cost Calculations'!$H$6:$H$36,'DPC and SIPR Cost Calculations'!$B$6:$B$36,'Final Development Cost Split'!B36)</f>
        <v>0</v>
      </c>
      <c r="K36" s="89">
        <f t="shared" si="3"/>
        <v>0</v>
      </c>
      <c r="L36" s="89">
        <f>_xlfn.XLOOKUP(B36,'Development Cost Calculations'!$B$9:$B$36,'Development Cost Calculations'!$Q$9:$Q$36)</f>
        <v>1.47</v>
      </c>
      <c r="M36" s="90">
        <f t="shared" si="4"/>
        <v>1.47</v>
      </c>
      <c r="N36" s="90">
        <f t="shared" si="5"/>
        <v>1.47</v>
      </c>
      <c r="O36" s="90">
        <f t="shared" si="0"/>
        <v>0</v>
      </c>
      <c r="P36" s="158" t="s">
        <v>127</v>
      </c>
    </row>
    <row r="37" spans="1:16" s="22" customFormat="1" ht="26.25">
      <c r="A37" s="32">
        <v>22</v>
      </c>
      <c r="B37" s="39" t="s">
        <v>125</v>
      </c>
      <c r="C37" s="39" t="s">
        <v>70</v>
      </c>
      <c r="D37" s="145">
        <v>1</v>
      </c>
      <c r="E37" s="144" t="s">
        <v>60</v>
      </c>
      <c r="F37" s="89">
        <f t="shared" si="1"/>
        <v>17.090000000000003</v>
      </c>
      <c r="G37" s="117">
        <f>IF(SUMIF('F_Input Override'!$C$45:$C$46,B37,'F_Input Override'!$K$45:$K$46)&gt;0,SUMIF('F_Input Override'!$C$45:$C$46,B37,'F_Input Override'!$K$45:$K$46),SUMIFS(Inputs!$I$4:$I$42,Inputs!$B$4:$B$42,'Final Development Cost Split'!B37,Inputs!$A$4:$A$42,'Final Development Cost Split'!C37)+SUMIFS(Other_Inputs!$I$4:$I$7,Other_Inputs!$B$4:$B$7,'Final Development Cost Split'!B37))</f>
        <v>17.090000000000003</v>
      </c>
      <c r="H37" s="89">
        <f t="shared" si="2"/>
        <v>10.95</v>
      </c>
      <c r="I37" s="89">
        <f>SUMIFS('DPC and SIPR Cost Calculations'!$G$6:$G$36,'DPC and SIPR Cost Calculations'!$C$6:$C$36,'Final Development Cost Split'!C37,'DPC and SIPR Cost Calculations'!$B$6:$B$36,'Final Development Cost Split'!B37)</f>
        <v>10.95</v>
      </c>
      <c r="J37" s="89">
        <f>SUMIFS('DPC and SIPR Cost Calculations'!$H$6:$H$36,'DPC and SIPR Cost Calculations'!$B$6:$B$36,'Final Development Cost Split'!B37)</f>
        <v>9.0865836000000009</v>
      </c>
      <c r="K37" s="89">
        <f t="shared" si="3"/>
        <v>9.0865836000000009</v>
      </c>
      <c r="L37" s="170">
        <f>_xlfn.XLOOKUP(B37,'Development Cost Calculations'!$B$9:$B$36,'Development Cost Calculations'!$Q$9:$Q$36)</f>
        <v>26.270219990753198</v>
      </c>
      <c r="M37" s="90">
        <f t="shared" si="4"/>
        <v>35.356803590753202</v>
      </c>
      <c r="N37" s="90">
        <f t="shared" si="5"/>
        <v>35.356803590753202</v>
      </c>
      <c r="O37" s="90">
        <f t="shared" si="0"/>
        <v>18.266803590753199</v>
      </c>
      <c r="P37" s="158" t="s">
        <v>310</v>
      </c>
    </row>
    <row r="38" spans="1:16" s="22" customFormat="1" ht="26.25">
      <c r="A38" s="73">
        <v>23</v>
      </c>
      <c r="B38" s="141" t="s">
        <v>149</v>
      </c>
      <c r="C38" s="141" t="s">
        <v>57</v>
      </c>
      <c r="D38" s="147">
        <v>1</v>
      </c>
      <c r="E38" s="148" t="s">
        <v>60</v>
      </c>
      <c r="F38" s="94">
        <f t="shared" si="1"/>
        <v>32.527999999999999</v>
      </c>
      <c r="G38" s="117">
        <f>IF(SUMIF('F_Input Override'!$C$45:$C$46,B38,'F_Input Override'!$K$45:$K$46)&gt;0,SUMIF('F_Input Override'!$C$45:$C$46,B38,'F_Input Override'!$K$45:$K$46),SUMIFS(Inputs!$I$4:$I$42,Inputs!$B$4:$B$42,'Final Development Cost Split'!B38,Inputs!$A$4:$A$42,'Final Development Cost Split'!C38)+SUMIFS(Other_Inputs!$I$4:$I$7,Other_Inputs!$B$4:$B$7,'Final Development Cost Split'!B38))</f>
        <v>32.527999999999999</v>
      </c>
      <c r="H38" s="94">
        <f t="shared" si="2"/>
        <v>0</v>
      </c>
      <c r="I38" s="91">
        <f>SUMIFS('DPC and SIPR Cost Calculations'!$G$6:$G$36,'DPC and SIPR Cost Calculations'!$C$6:$C$36,'Final Development Cost Split'!C38,'DPC and SIPR Cost Calculations'!$B$6:$B$36,'Final Development Cost Split'!B38)</f>
        <v>0</v>
      </c>
      <c r="J38" s="91">
        <f>SUMIFS('DPC and SIPR Cost Calculations'!$H$6:$H$36,'DPC and SIPR Cost Calculations'!$B$6:$B$36,'Final Development Cost Split'!B38)</f>
        <v>16.255737499999999</v>
      </c>
      <c r="K38" s="89">
        <f t="shared" si="3"/>
        <v>16.255737499999999</v>
      </c>
      <c r="L38" s="89">
        <f>_xlfn.XLOOKUP(B38,'Development Cost Calculations'!$B$9:$B$36,'Development Cost Calculations'!$Q$9:$Q$36)</f>
        <v>56.115309179999997</v>
      </c>
      <c r="M38" s="90">
        <f t="shared" si="4"/>
        <v>72.371046679999992</v>
      </c>
      <c r="N38" s="86">
        <f t="shared" si="5"/>
        <v>72.371046679999992</v>
      </c>
      <c r="O38" s="90">
        <f t="shared" si="0"/>
        <v>39.843046679999993</v>
      </c>
      <c r="P38" s="158" t="s">
        <v>311</v>
      </c>
    </row>
    <row r="39" spans="1:16" s="22" customFormat="1" ht="26.25">
      <c r="A39" s="32">
        <v>24</v>
      </c>
      <c r="B39" s="39" t="s">
        <v>128</v>
      </c>
      <c r="C39" s="39" t="s">
        <v>64</v>
      </c>
      <c r="D39" s="145">
        <v>1</v>
      </c>
      <c r="E39" s="144" t="s">
        <v>60</v>
      </c>
      <c r="F39" s="89">
        <f t="shared" si="1"/>
        <v>2.9899999999999998</v>
      </c>
      <c r="G39" s="117">
        <f>IF(SUMIF('F_Input Override'!$C$45:$C$46,B39,'F_Input Override'!$K$45:$K$46)&gt;0,SUMIF('F_Input Override'!$C$45:$C$46,B39,'F_Input Override'!$K$45:$K$46),SUMIFS(Inputs!$I$4:$I$42,Inputs!$B$4:$B$42,'Final Development Cost Split'!B39,Inputs!$A$4:$A$42,'Final Development Cost Split'!C39)+SUMIFS(Other_Inputs!$I$4:$I$7,Other_Inputs!$B$4:$B$7,'Final Development Cost Split'!B39))</f>
        <v>2.9899999999999998</v>
      </c>
      <c r="H39" s="89">
        <f t="shared" si="2"/>
        <v>0</v>
      </c>
      <c r="I39" s="89">
        <f>SUMIFS('DPC and SIPR Cost Calculations'!$G$6:$G$36,'DPC and SIPR Cost Calculations'!$C$6:$C$36,'Final Development Cost Split'!C39,'DPC and SIPR Cost Calculations'!$B$6:$B$36,'Final Development Cost Split'!B39)</f>
        <v>0</v>
      </c>
      <c r="J39" s="91">
        <f>SUMIFS('DPC and SIPR Cost Calculations'!$H$6:$H$36,'DPC and SIPR Cost Calculations'!$B$6:$B$36,'Final Development Cost Split'!B39)</f>
        <v>4.5735000000000001</v>
      </c>
      <c r="K39" s="89">
        <f t="shared" si="3"/>
        <v>4.5735000000000001</v>
      </c>
      <c r="L39" s="89">
        <f>_xlfn.XLOOKUP(B39,'Development Cost Calculations'!$B$9:$B$36,'Development Cost Calculations'!$Q$9:$Q$36)</f>
        <v>20.671924999999998</v>
      </c>
      <c r="M39" s="90">
        <f t="shared" si="4"/>
        <v>25.245424999999997</v>
      </c>
      <c r="N39" s="90">
        <f t="shared" si="5"/>
        <v>25.245424999999997</v>
      </c>
      <c r="O39" s="90">
        <f t="shared" si="0"/>
        <v>22.255424999999999</v>
      </c>
      <c r="P39" s="158" t="s">
        <v>312</v>
      </c>
    </row>
    <row r="40" spans="1:16" s="22" customFormat="1" ht="26.25">
      <c r="A40" s="32">
        <v>25</v>
      </c>
      <c r="B40" s="39" t="s">
        <v>130</v>
      </c>
      <c r="C40" s="39" t="s">
        <v>64</v>
      </c>
      <c r="D40" s="145">
        <v>0.5</v>
      </c>
      <c r="E40" s="144" t="s">
        <v>60</v>
      </c>
      <c r="F40" s="364">
        <f>SUM(G40:G41)</f>
        <v>9.4210000000000012</v>
      </c>
      <c r="G40" s="117">
        <f>IF(SUMIF('F_Input Override'!$C$45:$C$46,B40,'F_Input Override'!$K$45:$K$46)&gt;0,SUMIF('F_Input Override'!$C$45:$C$46,B40,'F_Input Override'!$K$45:$K$46),SUMIFS(Inputs!$I$4:$I$42,Inputs!$B$4:$B$42,'Final Development Cost Split'!B40,Inputs!$A$4:$A$42,'Final Development Cost Split'!C40)+SUMIFS(Other_Inputs!$I$4:$I$7,Other_Inputs!$B$4:$B$7,'Final Development Cost Split'!B40))</f>
        <v>3.5059999999999998</v>
      </c>
      <c r="H40" s="369">
        <f>SUM(I40:I41)</f>
        <v>0</v>
      </c>
      <c r="I40" s="89">
        <f>SUMIFS('DPC and SIPR Cost Calculations'!$G$6:$G$36,'DPC and SIPR Cost Calculations'!$C$6:$C$36,'Final Development Cost Split'!C40,'DPC and SIPR Cost Calculations'!$B$6:$B$36,'Final Development Cost Split'!B40)</f>
        <v>0</v>
      </c>
      <c r="J40" s="364">
        <f>SUMIFS('DPC and SIPR Cost Calculations'!$H$6:$H$36,'DPC and SIPR Cost Calculations'!$B$6:$B$36,'Final Development Cost Split'!B40)</f>
        <v>4.6362000000000005</v>
      </c>
      <c r="K40" s="89">
        <f t="shared" si="3"/>
        <v>2.3181000000000003</v>
      </c>
      <c r="L40" s="364">
        <f>_xlfn.XLOOKUP(B40,'Development Cost Calculations'!$B$9:$B$36,'Development Cost Calculations'!$Q$9:$Q$36)</f>
        <v>23.5421285</v>
      </c>
      <c r="M40" s="355">
        <f t="shared" si="4"/>
        <v>28.178328499999999</v>
      </c>
      <c r="N40" s="90">
        <f t="shared" si="5"/>
        <v>14.08916425</v>
      </c>
      <c r="O40" s="90">
        <f t="shared" si="0"/>
        <v>10.583164249999999</v>
      </c>
      <c r="P40" s="158" t="s">
        <v>313</v>
      </c>
    </row>
    <row r="41" spans="1:16" s="22" customFormat="1" ht="26.25">
      <c r="A41" s="73">
        <v>26</v>
      </c>
      <c r="B41" s="39" t="s">
        <v>130</v>
      </c>
      <c r="C41" s="39" t="s">
        <v>70</v>
      </c>
      <c r="D41" s="145">
        <v>0.5</v>
      </c>
      <c r="E41" s="144" t="s">
        <v>60</v>
      </c>
      <c r="F41" s="366"/>
      <c r="G41" s="117">
        <f>IF(SUMIF('F_Input Override'!$C$45:$C$46,B41,'F_Input Override'!$K$45:$K$46)&gt;0,SUMIF('F_Input Override'!$C$45:$C$46,B41,'F_Input Override'!$K$45:$K$46),SUMIFS(Inputs!$I$4:$I$42,Inputs!$B$4:$B$42,'Final Development Cost Split'!B41,Inputs!$A$4:$A$42,'Final Development Cost Split'!C41)+SUMIFS(Other_Inputs!$I$4:$I$7,Other_Inputs!$B$4:$B$7,'Final Development Cost Split'!B41))</f>
        <v>5.9150000000000009</v>
      </c>
      <c r="H41" s="370"/>
      <c r="I41" s="89">
        <f>SUMIFS('DPC and SIPR Cost Calculations'!$G$6:$G$36,'DPC and SIPR Cost Calculations'!$C$6:$C$36,'Final Development Cost Split'!C41,'DPC and SIPR Cost Calculations'!$B$6:$B$36,'Final Development Cost Split'!B41)</f>
        <v>0</v>
      </c>
      <c r="J41" s="366"/>
      <c r="K41" s="89">
        <f>J40*D41</f>
        <v>2.3181000000000003</v>
      </c>
      <c r="L41" s="366"/>
      <c r="M41" s="356"/>
      <c r="N41" s="90">
        <f>M40*D41</f>
        <v>14.08916425</v>
      </c>
      <c r="O41" s="90">
        <f t="shared" si="0"/>
        <v>8.1741642499999987</v>
      </c>
      <c r="P41" s="158" t="s">
        <v>314</v>
      </c>
    </row>
    <row r="42" spans="1:16" s="22" customFormat="1" ht="26.25">
      <c r="A42" s="32">
        <v>27</v>
      </c>
      <c r="B42" s="142" t="s">
        <v>155</v>
      </c>
      <c r="C42" s="39" t="s">
        <v>64</v>
      </c>
      <c r="D42" s="145">
        <v>1</v>
      </c>
      <c r="E42" s="144" t="s">
        <v>60</v>
      </c>
      <c r="F42" s="89">
        <f>SUM(G42)</f>
        <v>6.29</v>
      </c>
      <c r="G42" s="117">
        <f>IF(SUMIF('F_Input Override'!$C$45:$C$46,B42,'F_Input Override'!$K$45:$K$46)&gt;0,SUMIF('F_Input Override'!$C$45:$C$46,B42,'F_Input Override'!$K$45:$K$46),SUMIFS(Inputs!$I$4:$I$42,Inputs!$B$4:$B$42,'Final Development Cost Split'!B42,Inputs!$A$4:$A$42,'Final Development Cost Split'!C42)+SUMIFS(Other_Inputs!$I$4:$I$7,Other_Inputs!$B$4:$B$7,'Final Development Cost Split'!B42))</f>
        <v>6.29</v>
      </c>
      <c r="H42" s="89">
        <f>SUM(I42)</f>
        <v>6.1</v>
      </c>
      <c r="I42" s="89">
        <f>SUMIFS('DPC and SIPR Cost Calculations'!$G$6:$G$36,'DPC and SIPR Cost Calculations'!$C$6:$C$36,'Final Development Cost Split'!C42,'DPC and SIPR Cost Calculations'!$B$6:$B$36,'Final Development Cost Split'!B42)</f>
        <v>6.1</v>
      </c>
      <c r="J42" s="89">
        <f>SUMIFS('DPC and SIPR Cost Calculations'!$H$6:$H$36,'DPC and SIPR Cost Calculations'!$B$6:$B$36,'Final Development Cost Split'!B42)</f>
        <v>4.4233060000000002</v>
      </c>
      <c r="K42" s="89">
        <f>J42*D42</f>
        <v>4.4233060000000002</v>
      </c>
      <c r="L42" s="89">
        <f>_xlfn.XLOOKUP(B42,'Development Cost Calculations'!$B$9:$B$36,'Development Cost Calculations'!$Q$9:$Q$36)</f>
        <v>25.278400000000001</v>
      </c>
      <c r="M42" s="90">
        <f>L42+J42</f>
        <v>29.701706000000001</v>
      </c>
      <c r="N42" s="90">
        <f>M42*D42</f>
        <v>29.701706000000001</v>
      </c>
      <c r="O42" s="90">
        <f t="shared" si="0"/>
        <v>23.411706000000002</v>
      </c>
      <c r="P42" s="158" t="s">
        <v>314</v>
      </c>
    </row>
    <row r="43" spans="1:16" s="22" customFormat="1" ht="26.25">
      <c r="A43" s="32">
        <v>28</v>
      </c>
      <c r="B43" s="143" t="s">
        <v>151</v>
      </c>
      <c r="C43" s="39" t="s">
        <v>63</v>
      </c>
      <c r="D43" s="183">
        <v>1</v>
      </c>
      <c r="E43" s="144" t="s">
        <v>60</v>
      </c>
      <c r="F43" s="89">
        <f>SUM(G43)</f>
        <v>5.2359999999999998</v>
      </c>
      <c r="G43" s="117">
        <f>IF(SUMIF('F_Input Override'!$C$45:$C$46,B43,'F_Input Override'!$K$45:$K$46)&gt;0,SUMIF('F_Input Override'!$C$45:$C$46,B43,'F_Input Override'!$K$45:$K$46),SUMIFS(Inputs!$I$4:$I$42,Inputs!$B$4:$B$42,'Final Development Cost Split'!B43,Inputs!$A$4:$A$42,'Final Development Cost Split'!C43)+SUMIFS(Other_Inputs!$I$4:$I$7,Other_Inputs!$B$4:$B$7,'Final Development Cost Split'!B43))</f>
        <v>5.2359999999999998</v>
      </c>
      <c r="H43" s="89">
        <f>SUM(I43)</f>
        <v>0</v>
      </c>
      <c r="I43" s="89">
        <f>SUMIFS('DPC and SIPR Cost Calculations'!$G$6:$G$36,'DPC and SIPR Cost Calculations'!$C$6:$C$36,'Final Development Cost Split'!C43,'DPC and SIPR Cost Calculations'!$B$6:$B$36,'Final Development Cost Split'!B43)</f>
        <v>0</v>
      </c>
      <c r="J43" s="89">
        <f>SUMIFS('DPC and SIPR Cost Calculations'!$H$6:$H$36,'DPC and SIPR Cost Calculations'!$B$6:$B$36,'Final Development Cost Split'!B43)</f>
        <v>5.1388999999999996</v>
      </c>
      <c r="K43" s="89">
        <f>J43*D43</f>
        <v>5.1388999999999996</v>
      </c>
      <c r="L43" s="89">
        <f>_xlfn.XLOOKUP(B43,'Development Cost Calculations'!$B$9:$B$36,'Development Cost Calculations'!$Q$9:$Q$36)</f>
        <v>39.72</v>
      </c>
      <c r="M43" s="90">
        <f>L43+J43</f>
        <v>44.858899999999998</v>
      </c>
      <c r="N43" s="90">
        <f>M43*D43</f>
        <v>44.858899999999998</v>
      </c>
      <c r="O43" s="90">
        <f t="shared" si="0"/>
        <v>39.622900000000001</v>
      </c>
      <c r="P43" s="158" t="s">
        <v>311</v>
      </c>
    </row>
    <row r="44" spans="1:16" s="22" customFormat="1" ht="26.25">
      <c r="A44" s="73">
        <v>29</v>
      </c>
      <c r="B44" s="39" t="s">
        <v>153</v>
      </c>
      <c r="C44" s="39" t="s">
        <v>74</v>
      </c>
      <c r="D44" s="183">
        <v>1</v>
      </c>
      <c r="E44" s="144" t="s">
        <v>60</v>
      </c>
      <c r="F44" s="89">
        <f>SUM(G44)</f>
        <v>2.58</v>
      </c>
      <c r="G44" s="117">
        <f>IF(SUMIF('F_Input Override'!$C$45:$C$46,B44,'F_Input Override'!$K$45:$K$46)&gt;0,SUMIF('F_Input Override'!$C$45:$C$46,B44,'F_Input Override'!$K$45:$K$46),SUMIFS(Inputs!$I$4:$I$42,Inputs!$B$4:$B$42,'Final Development Cost Split'!B44,Inputs!$A$4:$A$42,'Final Development Cost Split'!C44)+SUMIFS(Other_Inputs!$I$4:$I$7,Other_Inputs!$B$4:$B$7,'Final Development Cost Split'!B44))</f>
        <v>2.58</v>
      </c>
      <c r="H44" s="89">
        <f>SUM(I44)</f>
        <v>0</v>
      </c>
      <c r="I44" s="89">
        <f>SUMIFS('DPC and SIPR Cost Calculations'!$G$6:$G$36,'DPC and SIPR Cost Calculations'!$C$6:$C$36,'Final Development Cost Split'!C44,'DPC and SIPR Cost Calculations'!$B$6:$B$36,'Final Development Cost Split'!B44)</f>
        <v>0</v>
      </c>
      <c r="J44" s="89">
        <f>SUMIFS('DPC and SIPR Cost Calculations'!$H$6:$H$36,'DPC and SIPR Cost Calculations'!$B$6:$B$36,'Final Development Cost Split'!B44)</f>
        <v>4.1538500000000003</v>
      </c>
      <c r="K44" s="89">
        <f>J44*D44</f>
        <v>4.1538500000000003</v>
      </c>
      <c r="L44" s="89">
        <f>_xlfn.XLOOKUP(B44,'Development Cost Calculations'!$B$9:$B$36,'Development Cost Calculations'!$Q$9:$Q$36)</f>
        <v>18</v>
      </c>
      <c r="M44" s="90">
        <f>L44+J44</f>
        <v>22.153849999999998</v>
      </c>
      <c r="N44" s="90">
        <f>M44*D44</f>
        <v>22.153849999999998</v>
      </c>
      <c r="O44" s="90">
        <f t="shared" si="0"/>
        <v>19.57385</v>
      </c>
      <c r="P44" s="158" t="s">
        <v>314</v>
      </c>
    </row>
    <row r="45" spans="1:16" s="22" customFormat="1">
      <c r="A45" s="73">
        <v>30</v>
      </c>
      <c r="B45" s="39" t="s">
        <v>135</v>
      </c>
      <c r="C45" s="39" t="s">
        <v>69</v>
      </c>
      <c r="D45" s="183">
        <v>1</v>
      </c>
      <c r="E45" s="144" t="s">
        <v>60</v>
      </c>
      <c r="F45" s="89">
        <f>SUM(G45)</f>
        <v>0.53120000000000012</v>
      </c>
      <c r="G45" s="117">
        <f>IF(SUMIF('F_Input Override'!$C$45:$C$46,B45,'F_Input Override'!$K$45:$K$46)&gt;0,SUMIF('F_Input Override'!$C$45:$C$46,B45,'F_Input Override'!$K$45:$K$46),SUMIFS(Inputs!$I$4:$I$42,Inputs!$B$4:$B$42,'Final Development Cost Split'!B45,Inputs!$A$4:$A$42,'Final Development Cost Split'!C45)+SUMIFS(Other_Inputs!$I$4:$I$7,Other_Inputs!$B$4:$B$7,'Final Development Cost Split'!B45))</f>
        <v>0.53120000000000012</v>
      </c>
      <c r="H45" s="89">
        <f>SUM(I45)</f>
        <v>0</v>
      </c>
      <c r="I45" s="89">
        <f>SUMIFS('DPC and SIPR Cost Calculations'!$G$6:$G$36,'DPC and SIPR Cost Calculations'!$C$6:$C$36,'Final Development Cost Split'!C45,'DPC and SIPR Cost Calculations'!$B$6:$B$36,'Final Development Cost Split'!B45)</f>
        <v>0</v>
      </c>
      <c r="J45" s="89">
        <f>SUMIFS('DPC and SIPR Cost Calculations'!$H$6:$H$36,'DPC and SIPR Cost Calculations'!$B$6:$B$36,'Final Development Cost Split'!B45)</f>
        <v>0</v>
      </c>
      <c r="K45" s="89">
        <f>J45*D45</f>
        <v>0</v>
      </c>
      <c r="L45" s="89">
        <f>F45</f>
        <v>0.53120000000000012</v>
      </c>
      <c r="M45" s="90">
        <f>L45+J45</f>
        <v>0.53120000000000012</v>
      </c>
      <c r="N45" s="90">
        <f>M45*D45</f>
        <v>0.53120000000000012</v>
      </c>
      <c r="O45" s="90">
        <f t="shared" si="0"/>
        <v>0</v>
      </c>
      <c r="P45" s="158" t="s">
        <v>127</v>
      </c>
    </row>
    <row r="46" spans="1:16" s="22" customFormat="1">
      <c r="A46" s="73">
        <v>31</v>
      </c>
      <c r="B46" s="39" t="s">
        <v>135</v>
      </c>
      <c r="C46" s="39" t="s">
        <v>65</v>
      </c>
      <c r="D46" s="183">
        <v>1</v>
      </c>
      <c r="E46" s="144" t="s">
        <v>60</v>
      </c>
      <c r="F46" s="89">
        <f>SUM(G46)</f>
        <v>0.65800000000000003</v>
      </c>
      <c r="G46" s="117">
        <f>IF(SUMIF('F_Input Override'!$C$45:$C$46,B46,'F_Input Override'!$K$45:$K$46)&gt;0,SUMIF('F_Input Override'!$C$45:$C$46,B46,'F_Input Override'!$K$45:$K$46),SUMIFS(Inputs!$I$4:$I$42,Inputs!$B$4:$B$42,'Final Development Cost Split'!B46,Inputs!$A$4:$A$42,'Final Development Cost Split'!C46)+SUMIFS(Other_Inputs!$I$4:$I$7,Other_Inputs!$B$4:$B$7,'Final Development Cost Split'!B46))</f>
        <v>0.65800000000000003</v>
      </c>
      <c r="H46" s="89">
        <f>SUM(I46)</f>
        <v>0</v>
      </c>
      <c r="I46" s="89">
        <f>SUMIFS('DPC and SIPR Cost Calculations'!$G$6:$G$36,'DPC and SIPR Cost Calculations'!$C$6:$C$36,'Final Development Cost Split'!C46,'DPC and SIPR Cost Calculations'!$B$6:$B$36,'Final Development Cost Split'!B46)</f>
        <v>0</v>
      </c>
      <c r="J46" s="89">
        <f>SUMIFS('DPC and SIPR Cost Calculations'!$H$6:$H$36,'DPC and SIPR Cost Calculations'!$B$6:$B$36,'Final Development Cost Split'!B46)</f>
        <v>0</v>
      </c>
      <c r="K46" s="89">
        <f>J46*D46</f>
        <v>0</v>
      </c>
      <c r="L46" s="89">
        <f>F46</f>
        <v>0.65800000000000003</v>
      </c>
      <c r="M46" s="90">
        <f>L46+J46</f>
        <v>0.65800000000000003</v>
      </c>
      <c r="N46" s="90">
        <f>M46*D46</f>
        <v>0.65800000000000003</v>
      </c>
      <c r="O46" s="90">
        <f t="shared" si="0"/>
        <v>0</v>
      </c>
      <c r="P46" s="158" t="s">
        <v>127</v>
      </c>
    </row>
    <row r="47" spans="1:16" s="22" customFormat="1">
      <c r="B47" s="250" t="s">
        <v>315</v>
      </c>
      <c r="M47" s="266"/>
    </row>
    <row r="48" spans="1:16" s="22" customFormat="1">
      <c r="B48" s="267" t="s">
        <v>316</v>
      </c>
      <c r="H48" s="268"/>
      <c r="J48" s="266"/>
      <c r="K48" s="266"/>
      <c r="N48" s="264"/>
    </row>
    <row r="49" spans="1:15" s="22" customFormat="1">
      <c r="G49" s="266"/>
      <c r="K49" s="268"/>
      <c r="L49" s="268"/>
    </row>
    <row r="50" spans="1:15">
      <c r="A50" s="22"/>
      <c r="B50" s="22"/>
      <c r="C50" s="22"/>
      <c r="D50" s="22"/>
      <c r="E50" s="22"/>
      <c r="F50" s="22"/>
      <c r="G50" s="22"/>
      <c r="H50" s="22"/>
      <c r="I50" s="22"/>
      <c r="J50" s="22"/>
      <c r="K50" s="22"/>
      <c r="L50" s="22"/>
      <c r="M50" s="22"/>
      <c r="N50" s="22"/>
      <c r="O50" s="22"/>
    </row>
    <row r="51" spans="1:15" s="22" customFormat="1">
      <c r="A51" s="15"/>
      <c r="B51" s="15"/>
      <c r="C51" s="15"/>
      <c r="D51" s="15"/>
      <c r="E51" s="15"/>
      <c r="F51" s="15"/>
      <c r="G51" s="15"/>
      <c r="H51" s="15"/>
      <c r="I51" s="15"/>
      <c r="J51" s="15"/>
      <c r="K51" s="15"/>
      <c r="L51" s="15"/>
      <c r="M51" s="15"/>
      <c r="N51" s="15"/>
      <c r="O51" s="28"/>
    </row>
    <row r="52" spans="1:15">
      <c r="N52" s="187"/>
    </row>
    <row r="74" spans="22:22">
      <c r="V74"/>
    </row>
    <row r="104" spans="2:14">
      <c r="G104" s="122"/>
      <c r="H104" s="122"/>
      <c r="I104" s="122"/>
      <c r="J104" s="123"/>
      <c r="M104"/>
      <c r="N104"/>
    </row>
    <row r="105" spans="2:14">
      <c r="B105"/>
      <c r="C105"/>
      <c r="D105"/>
      <c r="E105"/>
      <c r="F105"/>
      <c r="G105"/>
      <c r="H105"/>
      <c r="I105"/>
      <c r="J105"/>
      <c r="K105"/>
      <c r="L105"/>
      <c r="M105"/>
      <c r="N105"/>
    </row>
    <row r="106" spans="2:14">
      <c r="B106"/>
      <c r="C106"/>
      <c r="D106"/>
      <c r="E106"/>
      <c r="F106"/>
      <c r="G106"/>
      <c r="H106"/>
      <c r="I106"/>
      <c r="J106"/>
      <c r="K106"/>
      <c r="L106"/>
      <c r="M106"/>
      <c r="N106"/>
    </row>
    <row r="107" spans="2:14">
      <c r="B107"/>
      <c r="C107"/>
      <c r="D107"/>
      <c r="E107"/>
      <c r="F107"/>
      <c r="G107"/>
      <c r="H107"/>
      <c r="I107"/>
      <c r="J107"/>
      <c r="K107"/>
      <c r="L107"/>
      <c r="M107"/>
      <c r="N107"/>
    </row>
    <row r="108" spans="2:14">
      <c r="B108"/>
      <c r="C108"/>
      <c r="D108"/>
      <c r="E108"/>
      <c r="F108"/>
      <c r="G108"/>
      <c r="H108"/>
      <c r="I108"/>
      <c r="J108"/>
      <c r="K108"/>
      <c r="L108"/>
      <c r="M108"/>
      <c r="N108"/>
    </row>
    <row r="109" spans="2:14">
      <c r="B109"/>
      <c r="C109"/>
      <c r="D109"/>
      <c r="E109"/>
      <c r="F109"/>
      <c r="G109"/>
      <c r="H109"/>
      <c r="I109"/>
      <c r="J109"/>
      <c r="K109"/>
      <c r="L109"/>
      <c r="M109"/>
      <c r="N109"/>
    </row>
    <row r="110" spans="2:14">
      <c r="B110"/>
      <c r="C110"/>
      <c r="D110"/>
      <c r="E110"/>
      <c r="F110"/>
      <c r="G110"/>
      <c r="H110"/>
      <c r="I110"/>
      <c r="J110"/>
      <c r="K110"/>
      <c r="L110"/>
      <c r="M110"/>
      <c r="N110"/>
    </row>
    <row r="111" spans="2:14">
      <c r="B111"/>
      <c r="C111"/>
      <c r="D111"/>
      <c r="E111"/>
      <c r="F111"/>
      <c r="G111"/>
      <c r="H111"/>
      <c r="I111"/>
      <c r="J111"/>
      <c r="K111"/>
      <c r="L111"/>
      <c r="M111"/>
      <c r="N111"/>
    </row>
    <row r="112" spans="2:14">
      <c r="B112"/>
      <c r="C112"/>
      <c r="D112"/>
      <c r="E112"/>
      <c r="F112"/>
      <c r="G112"/>
      <c r="H112"/>
      <c r="I112"/>
      <c r="J112"/>
      <c r="K112"/>
      <c r="L112"/>
      <c r="M112"/>
      <c r="N112"/>
    </row>
    <row r="113" spans="2:14">
      <c r="B113"/>
      <c r="C113"/>
      <c r="D113"/>
      <c r="E113"/>
      <c r="F113"/>
      <c r="G113"/>
      <c r="H113"/>
      <c r="I113"/>
      <c r="J113"/>
      <c r="K113"/>
      <c r="L113"/>
      <c r="M113"/>
      <c r="N113"/>
    </row>
    <row r="114" spans="2:14">
      <c r="B114"/>
      <c r="C114"/>
      <c r="D114"/>
      <c r="E114"/>
      <c r="F114"/>
      <c r="G114"/>
      <c r="H114"/>
      <c r="I114"/>
      <c r="J114"/>
      <c r="K114"/>
      <c r="L114"/>
      <c r="M114"/>
      <c r="N114"/>
    </row>
    <row r="115" spans="2:14">
      <c r="B115"/>
      <c r="C115"/>
      <c r="D115"/>
      <c r="E115"/>
      <c r="F115"/>
      <c r="G115"/>
      <c r="H115"/>
      <c r="I115"/>
      <c r="J115"/>
      <c r="K115"/>
      <c r="L115"/>
      <c r="M115"/>
      <c r="N115"/>
    </row>
    <row r="116" spans="2:14">
      <c r="B116"/>
      <c r="C116"/>
      <c r="D116"/>
      <c r="E116"/>
      <c r="F116"/>
      <c r="G116"/>
      <c r="H116"/>
      <c r="I116"/>
      <c r="J116"/>
      <c r="K116"/>
      <c r="L116"/>
      <c r="M116"/>
      <c r="N116"/>
    </row>
    <row r="117" spans="2:14">
      <c r="B117"/>
      <c r="C117"/>
      <c r="D117"/>
      <c r="E117"/>
      <c r="F117"/>
      <c r="G117"/>
      <c r="H117"/>
      <c r="I117"/>
      <c r="J117"/>
      <c r="K117"/>
      <c r="L117"/>
      <c r="M117"/>
      <c r="N117"/>
    </row>
    <row r="118" spans="2:14">
      <c r="B118"/>
      <c r="C118"/>
      <c r="D118"/>
      <c r="E118"/>
      <c r="F118"/>
      <c r="G118"/>
      <c r="H118"/>
      <c r="I118"/>
      <c r="J118"/>
      <c r="K118"/>
      <c r="L118"/>
      <c r="M118"/>
      <c r="N118"/>
    </row>
    <row r="119" spans="2:14">
      <c r="B119"/>
      <c r="C119"/>
      <c r="D119"/>
      <c r="E119"/>
      <c r="F119"/>
      <c r="G119"/>
      <c r="H119"/>
      <c r="I119"/>
      <c r="J119"/>
      <c r="K119"/>
      <c r="L119"/>
      <c r="M119"/>
      <c r="N119"/>
    </row>
    <row r="120" spans="2:14">
      <c r="B120"/>
      <c r="C120"/>
      <c r="D120"/>
      <c r="E120"/>
      <c r="F120"/>
      <c r="G120"/>
      <c r="H120"/>
      <c r="I120"/>
      <c r="J120"/>
      <c r="K120"/>
      <c r="L120"/>
      <c r="M120"/>
      <c r="N120"/>
    </row>
    <row r="121" spans="2:14">
      <c r="B121"/>
      <c r="C121"/>
      <c r="D121"/>
      <c r="E121"/>
      <c r="F121"/>
      <c r="G121"/>
      <c r="H121"/>
      <c r="I121"/>
      <c r="J121"/>
      <c r="K121"/>
      <c r="L121"/>
      <c r="M121"/>
      <c r="N121"/>
    </row>
    <row r="122" spans="2:14">
      <c r="B122"/>
      <c r="C122"/>
      <c r="D122"/>
      <c r="E122"/>
      <c r="F122"/>
      <c r="G122"/>
      <c r="H122"/>
      <c r="I122"/>
      <c r="J122"/>
      <c r="K122"/>
      <c r="L122"/>
      <c r="M122"/>
      <c r="N122"/>
    </row>
    <row r="123" spans="2:14">
      <c r="B123"/>
      <c r="C123"/>
      <c r="D123"/>
      <c r="E123"/>
      <c r="F123"/>
      <c r="G123"/>
      <c r="H123"/>
      <c r="I123"/>
      <c r="J123"/>
      <c r="K123"/>
      <c r="L123"/>
      <c r="M123"/>
      <c r="N123"/>
    </row>
    <row r="124" spans="2:14">
      <c r="B124"/>
      <c r="C124"/>
      <c r="D124"/>
      <c r="E124"/>
      <c r="F124"/>
      <c r="G124"/>
      <c r="H124"/>
      <c r="I124"/>
      <c r="J124"/>
      <c r="K124"/>
      <c r="L124"/>
      <c r="M124"/>
      <c r="N124"/>
    </row>
    <row r="125" spans="2:14">
      <c r="B125"/>
      <c r="C125"/>
      <c r="D125"/>
      <c r="E125"/>
      <c r="F125"/>
      <c r="G125"/>
      <c r="H125"/>
      <c r="I125"/>
      <c r="J125"/>
      <c r="K125"/>
      <c r="L125"/>
      <c r="M125"/>
      <c r="N125"/>
    </row>
    <row r="126" spans="2:14">
      <c r="B126"/>
      <c r="C126"/>
      <c r="D126"/>
      <c r="E126"/>
      <c r="F126"/>
      <c r="G126"/>
      <c r="H126"/>
      <c r="I126"/>
      <c r="J126"/>
      <c r="K126"/>
      <c r="L126"/>
      <c r="M126"/>
      <c r="N126"/>
    </row>
    <row r="127" spans="2:14">
      <c r="B127"/>
      <c r="C127"/>
      <c r="D127"/>
      <c r="E127"/>
      <c r="F127"/>
      <c r="G127"/>
      <c r="H127"/>
      <c r="I127"/>
      <c r="J127"/>
      <c r="K127"/>
      <c r="L127"/>
      <c r="M127"/>
      <c r="N127"/>
    </row>
    <row r="128" spans="2:14">
      <c r="B128"/>
      <c r="C128"/>
      <c r="D128"/>
      <c r="E128"/>
      <c r="F128"/>
      <c r="G128"/>
      <c r="H128"/>
      <c r="I128"/>
      <c r="J128"/>
      <c r="K128"/>
      <c r="L128"/>
      <c r="M128"/>
      <c r="N128"/>
    </row>
    <row r="129" spans="2:14">
      <c r="B129"/>
      <c r="C129"/>
      <c r="D129"/>
      <c r="E129"/>
      <c r="F129"/>
      <c r="G129"/>
      <c r="H129"/>
      <c r="I129"/>
      <c r="J129"/>
      <c r="K129"/>
      <c r="L129"/>
      <c r="M129"/>
      <c r="N129"/>
    </row>
    <row r="130" spans="2:14">
      <c r="B130"/>
      <c r="C130"/>
      <c r="D130"/>
      <c r="E130"/>
      <c r="F130"/>
      <c r="G130"/>
      <c r="H130"/>
      <c r="I130"/>
      <c r="J130"/>
      <c r="K130"/>
      <c r="L130"/>
      <c r="M130"/>
      <c r="N130"/>
    </row>
    <row r="131" spans="2:14">
      <c r="B131"/>
      <c r="C131"/>
      <c r="D131"/>
      <c r="E131"/>
      <c r="F131"/>
      <c r="G131"/>
      <c r="H131"/>
      <c r="I131"/>
      <c r="J131"/>
      <c r="K131"/>
      <c r="L131"/>
      <c r="M131"/>
      <c r="N131"/>
    </row>
    <row r="132" spans="2:14">
      <c r="B132"/>
      <c r="C132"/>
      <c r="D132"/>
      <c r="E132"/>
      <c r="F132"/>
      <c r="G132"/>
      <c r="H132"/>
      <c r="I132"/>
      <c r="J132"/>
      <c r="K132"/>
      <c r="L132"/>
      <c r="M132"/>
      <c r="N132"/>
    </row>
    <row r="133" spans="2:14">
      <c r="B133"/>
      <c r="C133"/>
      <c r="D133"/>
      <c r="E133"/>
      <c r="F133"/>
      <c r="G133"/>
      <c r="H133"/>
      <c r="I133"/>
      <c r="J133"/>
      <c r="K133"/>
      <c r="L133"/>
      <c r="M133"/>
      <c r="N133"/>
    </row>
    <row r="134" spans="2:14">
      <c r="B134"/>
      <c r="C134"/>
      <c r="D134"/>
      <c r="E134"/>
      <c r="F134"/>
      <c r="G134"/>
      <c r="H134"/>
      <c r="I134"/>
      <c r="J134"/>
      <c r="K134"/>
      <c r="L134"/>
      <c r="M134"/>
      <c r="N134"/>
    </row>
    <row r="135" spans="2:14">
      <c r="B135"/>
      <c r="C135"/>
      <c r="D135"/>
      <c r="E135"/>
      <c r="F135"/>
      <c r="G135"/>
      <c r="H135"/>
      <c r="I135"/>
      <c r="J135"/>
      <c r="K135"/>
      <c r="L135"/>
      <c r="M135"/>
      <c r="N135"/>
    </row>
    <row r="136" spans="2:14">
      <c r="B136"/>
      <c r="C136"/>
      <c r="D136"/>
      <c r="E136"/>
      <c r="F136"/>
      <c r="G136"/>
      <c r="H136"/>
      <c r="I136"/>
      <c r="J136"/>
      <c r="K136"/>
      <c r="L136"/>
      <c r="M136"/>
      <c r="N136"/>
    </row>
    <row r="137" spans="2:14">
      <c r="B137"/>
      <c r="C137"/>
      <c r="D137"/>
      <c r="E137"/>
      <c r="F137"/>
      <c r="G137"/>
      <c r="H137"/>
      <c r="I137"/>
      <c r="J137"/>
      <c r="K137"/>
      <c r="L137"/>
      <c r="M137"/>
      <c r="N137"/>
    </row>
    <row r="138" spans="2:14">
      <c r="B138"/>
      <c r="C138"/>
      <c r="D138"/>
      <c r="E138"/>
      <c r="F138"/>
      <c r="G138"/>
      <c r="H138"/>
      <c r="I138"/>
      <c r="J138"/>
      <c r="K138"/>
      <c r="L138"/>
      <c r="M138"/>
      <c r="N138"/>
    </row>
    <row r="139" spans="2:14">
      <c r="B139"/>
      <c r="C139"/>
      <c r="D139"/>
      <c r="E139"/>
      <c r="F139"/>
      <c r="G139"/>
      <c r="H139"/>
      <c r="I139"/>
      <c r="J139"/>
      <c r="K139"/>
      <c r="L139"/>
      <c r="M139"/>
      <c r="N139"/>
    </row>
    <row r="140" spans="2:14">
      <c r="B140"/>
      <c r="C140"/>
      <c r="D140"/>
      <c r="E140"/>
      <c r="F140"/>
      <c r="G140"/>
      <c r="H140"/>
      <c r="I140"/>
      <c r="J140"/>
      <c r="K140"/>
      <c r="L140"/>
      <c r="M140"/>
      <c r="N140"/>
    </row>
    <row r="141" spans="2:14">
      <c r="B141"/>
      <c r="C141"/>
      <c r="D141"/>
      <c r="E141"/>
      <c r="F141"/>
      <c r="G141"/>
      <c r="H141"/>
      <c r="I141"/>
      <c r="J141"/>
      <c r="K141"/>
      <c r="L141"/>
      <c r="M141"/>
      <c r="N141"/>
    </row>
    <row r="142" spans="2:14">
      <c r="B142"/>
      <c r="C142"/>
      <c r="D142"/>
      <c r="E142"/>
      <c r="F142"/>
      <c r="G142"/>
      <c r="H142"/>
      <c r="I142"/>
      <c r="J142"/>
      <c r="K142"/>
      <c r="L142"/>
      <c r="M142"/>
      <c r="N142"/>
    </row>
    <row r="143" spans="2:14">
      <c r="B143"/>
      <c r="C143"/>
      <c r="D143"/>
      <c r="E143"/>
      <c r="F143"/>
      <c r="G143"/>
      <c r="H143"/>
      <c r="I143"/>
      <c r="J143"/>
      <c r="K143"/>
      <c r="L143"/>
      <c r="M143"/>
      <c r="N143"/>
    </row>
    <row r="144" spans="2:14">
      <c r="B144"/>
      <c r="C144"/>
      <c r="D144"/>
      <c r="E144"/>
      <c r="F144"/>
      <c r="G144"/>
      <c r="H144"/>
      <c r="I144"/>
      <c r="J144"/>
      <c r="K144"/>
      <c r="L144"/>
      <c r="M144"/>
      <c r="N144"/>
    </row>
    <row r="145" spans="2:14">
      <c r="B145"/>
      <c r="C145"/>
      <c r="D145"/>
      <c r="E145"/>
      <c r="F145"/>
      <c r="G145"/>
      <c r="H145"/>
      <c r="I145"/>
      <c r="J145"/>
      <c r="K145"/>
      <c r="L145"/>
      <c r="M145"/>
      <c r="N145"/>
    </row>
    <row r="146" spans="2:14">
      <c r="B146"/>
      <c r="C146"/>
      <c r="D146"/>
      <c r="E146"/>
      <c r="F146"/>
      <c r="G146"/>
      <c r="H146"/>
      <c r="I146"/>
      <c r="J146"/>
      <c r="K146"/>
      <c r="L146"/>
      <c r="M146"/>
      <c r="N146"/>
    </row>
  </sheetData>
  <autoFilter ref="A3:P50" xr:uid="{EFAC93D6-7BDD-458B-8197-E8F8AAFA9DAD}">
    <filterColumn colId="5" showButton="0"/>
    <filterColumn colId="7" showButton="0"/>
    <filterColumn colId="8" showButton="0"/>
    <filterColumn colId="9" showButton="0"/>
    <filterColumn colId="11" showButton="0"/>
    <filterColumn colId="12" showButton="0"/>
  </autoFilter>
  <mergeCells count="56">
    <mergeCell ref="J40:J41"/>
    <mergeCell ref="M40:M41"/>
    <mergeCell ref="F29:F31"/>
    <mergeCell ref="H29:H31"/>
    <mergeCell ref="J29:J31"/>
    <mergeCell ref="M29:M31"/>
    <mergeCell ref="L29:L31"/>
    <mergeCell ref="F40:F41"/>
    <mergeCell ref="L40:L41"/>
    <mergeCell ref="H40:H41"/>
    <mergeCell ref="F20:F21"/>
    <mergeCell ref="H20:H21"/>
    <mergeCell ref="J20:J21"/>
    <mergeCell ref="M20:M21"/>
    <mergeCell ref="F24:F26"/>
    <mergeCell ref="H24:H26"/>
    <mergeCell ref="J24:J26"/>
    <mergeCell ref="M24:M26"/>
    <mergeCell ref="L20:L21"/>
    <mergeCell ref="L24:L26"/>
    <mergeCell ref="F16:F17"/>
    <mergeCell ref="H16:H17"/>
    <mergeCell ref="J16:J17"/>
    <mergeCell ref="M16:M17"/>
    <mergeCell ref="F18:F19"/>
    <mergeCell ref="H18:H19"/>
    <mergeCell ref="J18:J19"/>
    <mergeCell ref="M18:M19"/>
    <mergeCell ref="L18:L19"/>
    <mergeCell ref="F11:F12"/>
    <mergeCell ref="H11:H12"/>
    <mergeCell ref="J11:J12"/>
    <mergeCell ref="F13:F14"/>
    <mergeCell ref="H13:H14"/>
    <mergeCell ref="J13:J14"/>
    <mergeCell ref="A29:A31"/>
    <mergeCell ref="A5:A7"/>
    <mergeCell ref="A11:A12"/>
    <mergeCell ref="A13:A14"/>
    <mergeCell ref="A16:A17"/>
    <mergeCell ref="A24:A26"/>
    <mergeCell ref="A18:A19"/>
    <mergeCell ref="A20:A21"/>
    <mergeCell ref="L3:N3"/>
    <mergeCell ref="L5:L7"/>
    <mergeCell ref="L11:L12"/>
    <mergeCell ref="L13:L14"/>
    <mergeCell ref="L16:L17"/>
    <mergeCell ref="M5:M7"/>
    <mergeCell ref="M11:M12"/>
    <mergeCell ref="M13:M14"/>
    <mergeCell ref="F3:G3"/>
    <mergeCell ref="H3:K3"/>
    <mergeCell ref="F5:F7"/>
    <mergeCell ref="H5:H7"/>
    <mergeCell ref="J5:J7"/>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C597EB-17D1-4620-BF1A-7B21A1615E15}">
  <sheetPr codeName="Sheet17">
    <tabColor rgb="FFCCCCCE"/>
  </sheetPr>
  <dimension ref="A1:AN35"/>
  <sheetViews>
    <sheetView showGridLines="0" zoomScale="80" zoomScaleNormal="80" workbookViewId="0"/>
  </sheetViews>
  <sheetFormatPr defaultRowHeight="12.75"/>
  <cols>
    <col min="1" max="1" width="9" customWidth="1"/>
    <col min="2" max="2" width="8.140625" bestFit="1" customWidth="1"/>
    <col min="3" max="3" width="11.140625" customWidth="1"/>
    <col min="4" max="4" width="14.85546875" bestFit="1" customWidth="1"/>
    <col min="5" max="5" width="12" bestFit="1" customWidth="1"/>
    <col min="6" max="6" width="20.5703125" customWidth="1"/>
    <col min="7" max="7" width="15.85546875" style="43" bestFit="1" customWidth="1"/>
    <col min="8" max="8" width="95.28515625" bestFit="1" customWidth="1"/>
  </cols>
  <sheetData>
    <row r="1" spans="1:40" s="209" customFormat="1" ht="32.85" customHeight="1">
      <c r="A1" s="210" t="e">
        <f ca="1" xml:space="preserve"> RIGHT(CELL("filename", A1), LEN(CELL("filename", A1)) - SEARCH("]", CELL("filename", A1)))</f>
        <v>#VALUE!</v>
      </c>
      <c r="B1" s="210"/>
      <c r="C1" s="210"/>
      <c r="D1" s="210"/>
      <c r="E1" s="210"/>
      <c r="F1" s="210"/>
      <c r="G1" s="210"/>
      <c r="H1" s="210"/>
      <c r="I1" s="210"/>
      <c r="J1" s="210"/>
      <c r="K1" s="210"/>
      <c r="L1" s="210"/>
      <c r="M1" s="210"/>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row>
    <row r="4" spans="1:40" ht="39.4">
      <c r="A4" s="2"/>
      <c r="B4" s="7" t="s">
        <v>92</v>
      </c>
      <c r="C4" s="7" t="s">
        <v>317</v>
      </c>
      <c r="D4" s="7" t="s">
        <v>318</v>
      </c>
      <c r="E4" s="7" t="s">
        <v>319</v>
      </c>
      <c r="F4" s="7" t="s">
        <v>320</v>
      </c>
      <c r="G4" s="34" t="s">
        <v>321</v>
      </c>
      <c r="H4" s="21" t="s">
        <v>322</v>
      </c>
      <c r="J4" s="11"/>
      <c r="K4" s="11"/>
    </row>
    <row r="5" spans="1:40" s="128" customFormat="1" ht="26.25">
      <c r="A5" s="269">
        <v>1</v>
      </c>
      <c r="B5" s="103" t="s">
        <v>57</v>
      </c>
      <c r="C5" s="104">
        <f>SUMIF(Water_totex!$A$8:$A$24,'Materiality &amp; Deep Dive'!B5,Water_totex!$F$8:$F$24)</f>
        <v>4187.3538391792017</v>
      </c>
      <c r="D5" s="105">
        <f>_xlfn.XLOOKUP(B5,'Final Input'!$A$4:$A$20,'Final Input'!$K$4:$K$20,"N/A")</f>
        <v>746.14400000000012</v>
      </c>
      <c r="E5" s="106">
        <f>D5/C5</f>
        <v>0.178189861343616</v>
      </c>
      <c r="F5" s="107" t="s">
        <v>323</v>
      </c>
      <c r="G5" s="101">
        <f>SUMIF('Final Development Cost Split'!$C$5:$C$47,'Materiality &amp; Deep Dive'!B5,'Final Development Cost Split'!$N$5:$N$47)</f>
        <v>810.50350385618265</v>
      </c>
      <c r="H5" s="171" t="s">
        <v>324</v>
      </c>
      <c r="I5" s="270"/>
      <c r="J5" s="270"/>
      <c r="K5" s="270"/>
    </row>
    <row r="6" spans="1:40" s="128" customFormat="1" ht="13.15">
      <c r="A6" s="271">
        <v>2</v>
      </c>
      <c r="B6" s="103" t="s">
        <v>61</v>
      </c>
      <c r="C6" s="104">
        <f>SUMIF(Water_totex!$A$8:$A$24,'Materiality &amp; Deep Dive'!B6,Water_totex!$F$8:$F$24)</f>
        <v>2365.6360000000004</v>
      </c>
      <c r="D6" s="105">
        <f>_xlfn.XLOOKUP(B6,'Final Input'!$A$4:$A$20,'Final Input'!$K$4:$K$20,"N/A")</f>
        <v>0</v>
      </c>
      <c r="E6" s="106">
        <f t="shared" ref="E6:E21" si="0">D6/C6</f>
        <v>0</v>
      </c>
      <c r="F6" s="107" t="s">
        <v>127</v>
      </c>
      <c r="G6" s="101">
        <f>SUMIF('Final Development Cost Split'!$C$5:$C$47,'Materiality &amp; Deep Dive'!B6,'Final Development Cost Split'!$N$5:$N$47)</f>
        <v>0</v>
      </c>
      <c r="H6" s="171"/>
      <c r="K6" s="270"/>
    </row>
    <row r="7" spans="1:40" s="128" customFormat="1" ht="13.15">
      <c r="A7" s="271">
        <v>3</v>
      </c>
      <c r="B7" s="103" t="s">
        <v>62</v>
      </c>
      <c r="C7" s="104">
        <f>SUMIF(Water_totex!$A$8:$A$24,'Materiality &amp; Deep Dive'!B7,Water_totex!$F$8:$F$24)</f>
        <v>202.99290591725929</v>
      </c>
      <c r="D7" s="105">
        <f>_xlfn.XLOOKUP(B7,'Final Input'!$A$4:$A$20,'Final Input'!$K$4:$K$20,"N/A")</f>
        <v>0</v>
      </c>
      <c r="E7" s="106">
        <f t="shared" si="0"/>
        <v>0</v>
      </c>
      <c r="F7" s="107" t="s">
        <v>127</v>
      </c>
      <c r="G7" s="101">
        <f>SUMIF('Final Development Cost Split'!$C$5:$C$47,'Materiality &amp; Deep Dive'!B7,'Final Development Cost Split'!$N$5:$N$47)</f>
        <v>0</v>
      </c>
      <c r="H7" s="171"/>
      <c r="K7" s="270"/>
    </row>
    <row r="8" spans="1:40" s="128" customFormat="1" ht="26.25">
      <c r="A8" s="271">
        <v>4</v>
      </c>
      <c r="B8" s="103" t="s">
        <v>63</v>
      </c>
      <c r="C8" s="104">
        <f>SUMIF(Water_totex!$A$8:$A$24,'Materiality &amp; Deep Dive'!B8,Water_totex!$F$8:$F$24)</f>
        <v>3081.8584658883838</v>
      </c>
      <c r="D8" s="105">
        <f>_xlfn.XLOOKUP(B8,'Final Input'!$A$4:$A$20,'Final Input'!$K$4:$K$20,"N/A")</f>
        <v>8.1259999999999994</v>
      </c>
      <c r="E8" s="106">
        <f t="shared" si="0"/>
        <v>2.6367206962755766E-3</v>
      </c>
      <c r="F8" s="107" t="s">
        <v>323</v>
      </c>
      <c r="G8" s="101">
        <f>SUMIF('Final Development Cost Split'!$C$5:$C$47,'Materiality &amp; Deep Dive'!B8,'Final Development Cost Split'!$N$5:$N$47)</f>
        <v>48.661899999999996</v>
      </c>
      <c r="H8" s="171" t="s">
        <v>325</v>
      </c>
      <c r="J8" s="270"/>
      <c r="K8" s="270"/>
    </row>
    <row r="9" spans="1:40" s="128" customFormat="1" ht="78.75">
      <c r="A9" s="271">
        <v>5</v>
      </c>
      <c r="B9" s="103" t="s">
        <v>64</v>
      </c>
      <c r="C9" s="104">
        <f>SUMIF(Water_totex!$A$8:$A$24,'Materiality &amp; Deep Dive'!B9,Water_totex!$F$8:$F$24)</f>
        <v>5623.0424441747873</v>
      </c>
      <c r="D9" s="105">
        <f>_xlfn.XLOOKUP(B9,'Final Input'!$A$4:$A$20,'Final Input'!$K$4:$K$20,"N/A")</f>
        <v>45.955999999999996</v>
      </c>
      <c r="E9" s="106">
        <f t="shared" si="0"/>
        <v>8.1727997709866648E-3</v>
      </c>
      <c r="F9" s="107" t="s">
        <v>323</v>
      </c>
      <c r="G9" s="101">
        <f>SUMIF('Final Development Cost Split'!$C$5:$C$47,'Materiality &amp; Deep Dive'!B9,'Final Development Cost Split'!$N$5:$N$47)</f>
        <v>103.40561738049739</v>
      </c>
      <c r="H9" s="171" t="s">
        <v>326</v>
      </c>
      <c r="J9" s="270"/>
      <c r="K9" s="270"/>
    </row>
    <row r="10" spans="1:40" s="128" customFormat="1" ht="39.4">
      <c r="A10" s="271">
        <v>6</v>
      </c>
      <c r="B10" s="103" t="s">
        <v>65</v>
      </c>
      <c r="C10" s="104">
        <f>SUMIF(Water_totex!$A$8:$A$24,'Materiality &amp; Deep Dive'!B10,Water_totex!$F$8:$F$24)</f>
        <v>1570.2115280676144</v>
      </c>
      <c r="D10" s="105">
        <f>_xlfn.XLOOKUP(B10,'Final Input'!$A$4:$A$20,'Final Input'!$K$4:$K$20,"N/A")</f>
        <v>70.894000000000005</v>
      </c>
      <c r="E10" s="106">
        <f t="shared" si="0"/>
        <v>4.5149330986791268E-2</v>
      </c>
      <c r="F10" s="107" t="s">
        <v>323</v>
      </c>
      <c r="G10" s="101">
        <f>SUMIF('Final Development Cost Split'!$C$5:$C$47,'Materiality &amp; Deep Dive'!B10,'Final Development Cost Split'!$N$5:$N$47)</f>
        <v>86.815671269782442</v>
      </c>
      <c r="H10" s="171" t="s">
        <v>327</v>
      </c>
      <c r="J10" s="270"/>
      <c r="K10" s="270"/>
    </row>
    <row r="11" spans="1:40" s="128" customFormat="1" ht="26.25">
      <c r="A11" s="271">
        <v>7</v>
      </c>
      <c r="B11" s="103" t="s">
        <v>66</v>
      </c>
      <c r="C11" s="104">
        <f>SUMIF(Water_totex!$A$8:$A$24,'Materiality &amp; Deep Dive'!B11,Water_totex!$F$8:$F$24)</f>
        <v>3614.7629999999999</v>
      </c>
      <c r="D11" s="105">
        <f>_xlfn.XLOOKUP(B11,'Final Input'!$A$4:$A$20,'Final Input'!$K$4:$K$20,"N/A")</f>
        <v>352.173</v>
      </c>
      <c r="E11" s="106">
        <f t="shared" si="0"/>
        <v>9.7426304297128202E-2</v>
      </c>
      <c r="F11" s="107" t="s">
        <v>323</v>
      </c>
      <c r="G11" s="101">
        <f>SUMIF('Final Development Cost Split'!$C$5:$C$47,'Materiality &amp; Deep Dive'!B11,'Final Development Cost Split'!$N$5:$N$47)</f>
        <v>243.3550207737311</v>
      </c>
      <c r="H11" s="171" t="s">
        <v>328</v>
      </c>
      <c r="J11" s="270"/>
      <c r="K11" s="270"/>
    </row>
    <row r="12" spans="1:40" s="128" customFormat="1" ht="65.650000000000006">
      <c r="A12" s="271">
        <v>8</v>
      </c>
      <c r="B12" s="103" t="s">
        <v>67</v>
      </c>
      <c r="C12" s="104">
        <f>SUMIF(Water_totex!$A$8:$A$24,'Materiality &amp; Deep Dive'!B12,Water_totex!$F$8:$F$24)</f>
        <v>10162.162728326373</v>
      </c>
      <c r="D12" s="105">
        <f>_xlfn.XLOOKUP(B12,'Final Input'!$A$4:$A$20,'Final Input'!$K$4:$K$20,"N/A")</f>
        <v>856.26365412422842</v>
      </c>
      <c r="E12" s="106">
        <f t="shared" si="0"/>
        <v>8.4259982546574339E-2</v>
      </c>
      <c r="F12" s="107" t="s">
        <v>323</v>
      </c>
      <c r="G12" s="101">
        <f>SUMIF('Final Development Cost Split'!$C$5:$C$47,'Materiality &amp; Deep Dive'!B12,'Final Development Cost Split'!$N$5:$N$47)</f>
        <v>473.95285208835242</v>
      </c>
      <c r="H12" s="171" t="s">
        <v>329</v>
      </c>
      <c r="J12" s="270"/>
      <c r="K12" s="270"/>
    </row>
    <row r="13" spans="1:40" s="128" customFormat="1" ht="39.4">
      <c r="A13" s="271">
        <v>9</v>
      </c>
      <c r="B13" s="103" t="s">
        <v>68</v>
      </c>
      <c r="C13" s="104">
        <f>SUMIF(Water_totex!$A$8:$A$24,'Materiality &amp; Deep Dive'!B13,Water_totex!$F$8:$F$24)</f>
        <v>4204.1445535850035</v>
      </c>
      <c r="D13" s="105">
        <f>_xlfn.XLOOKUP(B13,'Final Input'!$A$4:$A$20,'Final Input'!$K$4:$K$20,"N/A")</f>
        <v>41.308101895097998</v>
      </c>
      <c r="E13" s="106">
        <f t="shared" si="0"/>
        <v>9.8255665019589562E-3</v>
      </c>
      <c r="F13" s="107" t="s">
        <v>323</v>
      </c>
      <c r="G13" s="101">
        <f>SUMIF('Final Development Cost Split'!$C$5:$C$47,'Materiality &amp; Deep Dive'!B13,'Final Development Cost Split'!$N$5:$N$47)</f>
        <v>32.431412592045028</v>
      </c>
      <c r="H13" s="171" t="s">
        <v>330</v>
      </c>
      <c r="J13" s="270"/>
      <c r="K13" s="270"/>
    </row>
    <row r="14" spans="1:40" s="128" customFormat="1" ht="39.4">
      <c r="A14" s="271">
        <v>10</v>
      </c>
      <c r="B14" s="103" t="s">
        <v>69</v>
      </c>
      <c r="C14" s="104">
        <f>SUMIF(Water_totex!$A$8:$A$24,'Materiality &amp; Deep Dive'!B14,Water_totex!$F$8:$F$24)</f>
        <v>1136.356394668763</v>
      </c>
      <c r="D14" s="105">
        <f>_xlfn.XLOOKUP(B14,'Final Input'!$A$4:$A$20,'Final Input'!$K$4:$K$20,"N/A")</f>
        <v>72.279200000000003</v>
      </c>
      <c r="E14" s="106">
        <f t="shared" si="0"/>
        <v>6.3606101342060642E-2</v>
      </c>
      <c r="F14" s="107" t="s">
        <v>323</v>
      </c>
      <c r="G14" s="101">
        <f>SUMIF('Final Development Cost Split'!$C$5:$C$47,'Materiality &amp; Deep Dive'!B14,'Final Development Cost Split'!$N$5:$N$47)</f>
        <v>68.152016193155205</v>
      </c>
      <c r="H14" s="272" t="s">
        <v>331</v>
      </c>
      <c r="J14" s="270"/>
      <c r="K14" s="270"/>
    </row>
    <row r="15" spans="1:40" s="128" customFormat="1" ht="39.4">
      <c r="A15" s="271">
        <v>11</v>
      </c>
      <c r="B15" s="103" t="s">
        <v>70</v>
      </c>
      <c r="C15" s="104">
        <f>SUMIF(Water_totex!$A$8:$A$24,'Materiality &amp; Deep Dive'!B15,Water_totex!$F$8:$F$24)</f>
        <v>3120.0505199328545</v>
      </c>
      <c r="D15" s="105">
        <f>_xlfn.XLOOKUP(B15,'Final Input'!$A$4:$A$20,'Final Input'!$K$4:$K$20,"N/A")</f>
        <v>35.432000000000002</v>
      </c>
      <c r="E15" s="106">
        <f>D15/C15</f>
        <v>1.1356226373142996E-2</v>
      </c>
      <c r="F15" s="107" t="s">
        <v>323</v>
      </c>
      <c r="G15" s="101">
        <f>SUMIF('Final Development Cost Split'!$C$5:$C$47,'Materiality &amp; Deep Dive'!B15,'Final Development Cost Split'!$N$5:$N$47)</f>
        <v>68.955407840753196</v>
      </c>
      <c r="H15" s="171" t="s">
        <v>332</v>
      </c>
      <c r="I15" s="273"/>
      <c r="J15" s="270"/>
      <c r="K15" s="270"/>
    </row>
    <row r="16" spans="1:40" s="27" customFormat="1" ht="26.25">
      <c r="A16" s="274">
        <v>12</v>
      </c>
      <c r="B16" s="171" t="s">
        <v>71</v>
      </c>
      <c r="C16" s="104">
        <f>SUMIF(Water_totex!$A$8:$A$24,'Materiality &amp; Deep Dive'!B16,Water_totex!$F$8:$F$24)</f>
        <v>2157.018576495831</v>
      </c>
      <c r="D16" s="172">
        <f>_xlfn.XLOOKUP(B16,'Final Input'!$A$4:$A$20,'Final Input'!$K$4:$K$20,"N/A")</f>
        <v>72.38000000000001</v>
      </c>
      <c r="E16" s="173">
        <f t="shared" si="0"/>
        <v>3.3555575639772385E-2</v>
      </c>
      <c r="F16" s="174" t="s">
        <v>323</v>
      </c>
      <c r="G16" s="175">
        <f>SUMIF('Final Development Cost Split'!$C$5:$C$47,'Materiality &amp; Deep Dive'!B16,'Final Development Cost Split'!$N$5:$N$47)</f>
        <v>66.200436190215214</v>
      </c>
      <c r="H16" s="171" t="s">
        <v>333</v>
      </c>
      <c r="I16" s="275"/>
      <c r="J16" s="275"/>
      <c r="K16" s="275"/>
    </row>
    <row r="17" spans="1:11" s="128" customFormat="1" ht="13.15">
      <c r="A17" s="271">
        <v>13</v>
      </c>
      <c r="B17" s="103" t="s">
        <v>72</v>
      </c>
      <c r="C17" s="104">
        <f>SUMIF(Water_totex!$A$8:$A$24,'Materiality &amp; Deep Dive'!B17,Water_totex!$F$8:$F$24)</f>
        <v>688.95472484052561</v>
      </c>
      <c r="D17" s="105">
        <f>_xlfn.XLOOKUP(B17,'Final Input'!$A$4:$A$20,'Final Input'!$K$4:$K$20,"N/A")</f>
        <v>0</v>
      </c>
      <c r="E17" s="106">
        <f t="shared" si="0"/>
        <v>0</v>
      </c>
      <c r="F17" s="107" t="s">
        <v>127</v>
      </c>
      <c r="G17" s="101">
        <f>SUMIF('Final Development Cost Split'!$C$5:$C$47,'Materiality &amp; Deep Dive'!B17,'Final Development Cost Split'!$N$5:$N$47)</f>
        <v>0</v>
      </c>
      <c r="H17" s="171" t="s">
        <v>127</v>
      </c>
      <c r="K17" s="270"/>
    </row>
    <row r="18" spans="1:11" s="128" customFormat="1" ht="13.15">
      <c r="A18" s="271">
        <v>14</v>
      </c>
      <c r="B18" s="103" t="s">
        <v>73</v>
      </c>
      <c r="C18" s="104">
        <f>SUMIF(Water_totex!$A$8:$A$24,'Materiality &amp; Deep Dive'!B18,Water_totex!$F$8:$F$24)</f>
        <v>341.669282565</v>
      </c>
      <c r="D18" s="105">
        <f>_xlfn.XLOOKUP(B18,'Final Input'!$A$4:$A$20,'Final Input'!$K$4:$K$20,"N/A")</f>
        <v>0</v>
      </c>
      <c r="E18" s="106">
        <f t="shared" si="0"/>
        <v>0</v>
      </c>
      <c r="F18" s="107" t="s">
        <v>127</v>
      </c>
      <c r="G18" s="101">
        <f>SUMIF('Final Development Cost Split'!$C$5:$C$47,'Materiality &amp; Deep Dive'!B18,'Final Development Cost Split'!$N$5:$N$47)</f>
        <v>0</v>
      </c>
      <c r="H18" s="171" t="s">
        <v>127</v>
      </c>
      <c r="K18" s="270"/>
    </row>
    <row r="19" spans="1:11" s="128" customFormat="1" ht="26.25">
      <c r="A19" s="271">
        <v>15</v>
      </c>
      <c r="B19" s="103" t="s">
        <v>74</v>
      </c>
      <c r="C19" s="104">
        <f>SUMIF(Water_totex!$A$8:$A$24,'Materiality &amp; Deep Dive'!B19,Water_totex!$F$8:$F$24)</f>
        <v>1862.8372246509668</v>
      </c>
      <c r="D19" s="105">
        <f>_xlfn.XLOOKUP(B19,'Final Input'!$A$4:$A$20,'Final Input'!$K$4:$K$20,"N/A")</f>
        <v>63.53</v>
      </c>
      <c r="E19" s="106">
        <f t="shared" si="0"/>
        <v>3.4103892256020056E-2</v>
      </c>
      <c r="F19" s="107" t="s">
        <v>323</v>
      </c>
      <c r="G19" s="101">
        <f>SUMIF('Final Development Cost Split'!$C$5:$C$47,'Materiality &amp; Deep Dive'!B19,'Final Development Cost Split'!$N$5:$N$47)</f>
        <v>72.31132366818369</v>
      </c>
      <c r="H19" s="171" t="s">
        <v>334</v>
      </c>
      <c r="I19" s="270"/>
      <c r="J19" s="270"/>
      <c r="K19" s="270"/>
    </row>
    <row r="20" spans="1:11" s="128" customFormat="1" ht="13.15">
      <c r="A20" s="271">
        <v>16</v>
      </c>
      <c r="B20" s="103" t="s">
        <v>75</v>
      </c>
      <c r="C20" s="104">
        <f>SUMIF(Water_totex!$A$8:$A$24,'Materiality &amp; Deep Dive'!B20,Water_totex!$F$8:$F$24)</f>
        <v>737.95943386381316</v>
      </c>
      <c r="D20" s="105">
        <f>_xlfn.XLOOKUP(B20,'Final Input'!$A$4:$A$20,'Final Input'!$K$4:$K$20,"N/A")</f>
        <v>0</v>
      </c>
      <c r="E20" s="106">
        <f t="shared" si="0"/>
        <v>0</v>
      </c>
      <c r="F20" s="107" t="s">
        <v>323</v>
      </c>
      <c r="G20" s="101">
        <f>SUMIF('Final Development Cost Split'!$C$5:$C$47,'Materiality &amp; Deep Dive'!B20,'Final Development Cost Split'!$N$5:$N$47)</f>
        <v>0</v>
      </c>
      <c r="H20" s="171" t="s">
        <v>127</v>
      </c>
    </row>
    <row r="21" spans="1:11" s="128" customFormat="1" ht="13.15">
      <c r="A21" s="271">
        <v>17</v>
      </c>
      <c r="B21" s="103" t="s">
        <v>76</v>
      </c>
      <c r="C21" s="104">
        <f>SUMIF(Water_totex!$A$8:$A$24,'Materiality &amp; Deep Dive'!B21,Water_totex!$F$8:$F$24)</f>
        <v>377.63539117238162</v>
      </c>
      <c r="D21" s="105">
        <f>_xlfn.XLOOKUP(B21,'Final Input'!$A$4:$A$20,'Final Input'!$K$4:$K$20,"N/A")</f>
        <v>0</v>
      </c>
      <c r="E21" s="106">
        <f t="shared" si="0"/>
        <v>0</v>
      </c>
      <c r="F21" s="107" t="s">
        <v>127</v>
      </c>
      <c r="G21" s="101">
        <f>SUMIF('Final Development Cost Split'!$C$5:$C$47,'Materiality &amp; Deep Dive'!B21,'Final Development Cost Split'!$N$5:$N$47)</f>
        <v>0</v>
      </c>
      <c r="H21" s="171" t="s">
        <v>127</v>
      </c>
    </row>
    <row r="22" spans="1:11" s="128" customFormat="1" ht="13.15">
      <c r="A22" s="276"/>
      <c r="B22" s="108" t="s">
        <v>89</v>
      </c>
      <c r="C22" s="109">
        <f>SUM(C5:C21)</f>
        <v>45434.647013328758</v>
      </c>
      <c r="D22" s="110">
        <f>SUM(D5:D20)</f>
        <v>2364.4859560193267</v>
      </c>
      <c r="E22" s="107"/>
      <c r="F22" s="107"/>
      <c r="G22" s="102">
        <f>SUM(G5:G20)</f>
        <v>2074.745161852898</v>
      </c>
      <c r="H22" s="277"/>
    </row>
    <row r="23" spans="1:11" s="128" customFormat="1">
      <c r="G23" s="278"/>
    </row>
    <row r="24" spans="1:11" s="128" customFormat="1">
      <c r="C24" s="279"/>
      <c r="G24" s="278"/>
    </row>
    <row r="25" spans="1:11" s="128" customFormat="1">
      <c r="G25" s="278"/>
    </row>
    <row r="31" spans="1:11">
      <c r="G31" s="44"/>
    </row>
    <row r="32" spans="1:11">
      <c r="F32" s="11"/>
    </row>
    <row r="33" spans="7:7">
      <c r="G33" s="45"/>
    </row>
    <row r="35" spans="7:7">
      <c r="G35" s="44"/>
    </row>
  </sheetData>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E608CA-58A4-402C-9E43-CFB0EFF076BB}">
  <sheetPr codeName="Sheet21">
    <tabColor rgb="FF98C561"/>
  </sheetPr>
  <dimension ref="A1"/>
  <sheetViews>
    <sheetView zoomScale="80" zoomScaleNormal="80" workbookViewId="0"/>
  </sheetViews>
  <sheetFormatPr defaultRowHeight="12.75"/>
  <sheetData/>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32FE5D-5DC6-4CF4-9E02-431F90EF6ABC}">
  <sheetPr codeName="Sheet22">
    <tabColor rgb="FF98C561"/>
  </sheetPr>
  <dimension ref="A1:AN30"/>
  <sheetViews>
    <sheetView showGridLines="0" zoomScale="80" zoomScaleNormal="80" workbookViewId="0"/>
  </sheetViews>
  <sheetFormatPr defaultRowHeight="12.75"/>
  <cols>
    <col min="2" max="2" width="21" customWidth="1"/>
    <col min="3" max="3" width="20" customWidth="1"/>
    <col min="4" max="8" width="13.5703125" customWidth="1"/>
    <col min="9" max="9" width="13.28515625" bestFit="1" customWidth="1"/>
    <col min="10" max="11" width="13.5703125" customWidth="1"/>
    <col min="13" max="13" width="19.140625" customWidth="1"/>
  </cols>
  <sheetData>
    <row r="1" spans="1:40" s="209" customFormat="1" ht="32.85" customHeight="1">
      <c r="A1" s="210" t="e">
        <f ca="1" xml:space="preserve"> RIGHT(CELL("filename", A1), LEN(CELL("filename", A1)) - SEARCH("]", CELL("filename", A1)))</f>
        <v>#VALUE!</v>
      </c>
      <c r="B1" s="210"/>
      <c r="C1" s="210"/>
      <c r="D1" s="210"/>
      <c r="E1" s="210"/>
      <c r="F1" s="210"/>
      <c r="G1" s="210"/>
      <c r="H1" s="210"/>
      <c r="I1" s="210"/>
      <c r="J1" s="210"/>
      <c r="K1" s="210"/>
      <c r="L1" s="210"/>
      <c r="M1" s="210"/>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row>
    <row r="3" spans="1:40" s="211" customFormat="1" ht="15.75">
      <c r="A3" s="371" t="s">
        <v>335</v>
      </c>
      <c r="B3" s="371"/>
      <c r="C3" s="371"/>
      <c r="D3" s="371"/>
      <c r="E3" s="371"/>
      <c r="F3" s="371"/>
      <c r="G3" s="371"/>
      <c r="H3" s="371"/>
      <c r="I3" s="371"/>
      <c r="J3" s="371"/>
      <c r="K3" s="371"/>
      <c r="L3" s="371"/>
      <c r="M3" s="371"/>
    </row>
    <row r="4" spans="1:40" ht="13.15">
      <c r="A4" s="2"/>
      <c r="B4" s="2"/>
      <c r="C4" s="2"/>
      <c r="D4" s="2"/>
      <c r="E4" s="2"/>
      <c r="F4" s="2"/>
      <c r="G4" s="2"/>
      <c r="H4" s="2"/>
      <c r="I4" s="2"/>
      <c r="J4" s="2"/>
      <c r="K4" s="2"/>
    </row>
    <row r="5" spans="1:40" ht="13.15">
      <c r="A5" s="2"/>
      <c r="B5" s="2"/>
      <c r="C5" s="2"/>
      <c r="D5" s="2"/>
      <c r="E5" s="2"/>
      <c r="F5" s="2"/>
      <c r="G5" s="2"/>
      <c r="H5" s="2"/>
      <c r="I5" s="2"/>
      <c r="J5" s="2"/>
      <c r="K5" s="2"/>
    </row>
    <row r="6" spans="1:40" ht="13.15">
      <c r="A6" s="4" t="s">
        <v>336</v>
      </c>
      <c r="B6" s="4"/>
      <c r="C6" s="4"/>
      <c r="D6" s="2"/>
      <c r="E6" s="2"/>
      <c r="F6" s="2"/>
      <c r="G6" s="2"/>
      <c r="H6" s="2"/>
      <c r="I6" s="2"/>
      <c r="J6" s="2"/>
      <c r="K6" s="2"/>
    </row>
    <row r="7" spans="1:40" ht="13.15">
      <c r="A7" s="4"/>
      <c r="B7" s="4"/>
      <c r="C7" s="4"/>
      <c r="D7" s="2"/>
      <c r="E7" s="2"/>
      <c r="F7" s="2"/>
      <c r="G7" s="2"/>
      <c r="H7" s="2"/>
      <c r="I7" s="2"/>
    </row>
    <row r="8" spans="1:40" ht="13.15">
      <c r="A8" s="10"/>
      <c r="B8" s="9"/>
      <c r="C8" s="9"/>
      <c r="D8" s="3"/>
      <c r="E8" s="3"/>
      <c r="F8" s="3"/>
      <c r="G8" s="3"/>
      <c r="H8" s="3"/>
      <c r="I8" s="3"/>
    </row>
    <row r="9" spans="1:40" s="128" customFormat="1" ht="39.4">
      <c r="A9" s="276"/>
      <c r="B9" s="79" t="s">
        <v>92</v>
      </c>
      <c r="C9" s="79" t="s">
        <v>337</v>
      </c>
      <c r="D9" s="280" t="s">
        <v>338</v>
      </c>
      <c r="E9" s="280" t="s">
        <v>339</v>
      </c>
      <c r="F9" s="280" t="s">
        <v>340</v>
      </c>
      <c r="G9" s="280" t="s">
        <v>341</v>
      </c>
      <c r="H9" s="280" t="s">
        <v>342</v>
      </c>
      <c r="I9" s="280" t="s">
        <v>343</v>
      </c>
      <c r="J9" s="280" t="s">
        <v>344</v>
      </c>
    </row>
    <row r="10" spans="1:40" s="128" customFormat="1" ht="13.15">
      <c r="A10" s="103">
        <v>1</v>
      </c>
      <c r="B10" s="281" t="s">
        <v>57</v>
      </c>
      <c r="C10" s="282">
        <f>_xlfn.XLOOKUP(B10,'F_Inputs BP'!A8:A24,'F_Inputs BP'!K8:K24)</f>
        <v>0</v>
      </c>
      <c r="D10" s="283">
        <f t="shared" ref="D10:D26" si="0">E10-C10</f>
        <v>746.14400000000012</v>
      </c>
      <c r="E10" s="284">
        <f>_xlfn.XLOOKUP(B10,'Final Input'!$A$4:$A$20,'Final Input'!$K$4:$K$20,"N/A",0)</f>
        <v>746.14400000000012</v>
      </c>
      <c r="F10" s="103"/>
      <c r="G10" s="103"/>
      <c r="H10" s="283">
        <f>_xlfn.XLOOKUP(B10,'Materiality &amp; Deep Dive'!$B$5:$B$21,'Materiality &amp; Deep Dive'!$G$5:$G$21,"N/A",0)</f>
        <v>810.50350385618265</v>
      </c>
      <c r="I10" s="283">
        <f>H10</f>
        <v>810.50350385618265</v>
      </c>
      <c r="J10" s="283"/>
      <c r="M10" s="270"/>
    </row>
    <row r="11" spans="1:40" s="128" customFormat="1" ht="13.15">
      <c r="A11" s="285">
        <v>2</v>
      </c>
      <c r="B11" s="286" t="s">
        <v>61</v>
      </c>
      <c r="C11" s="282">
        <f>_xlfn.XLOOKUP(B11,'F_Inputs BP'!A9:A25,'F_Inputs BP'!K9:K25)</f>
        <v>0</v>
      </c>
      <c r="D11" s="283">
        <f t="shared" si="0"/>
        <v>0</v>
      </c>
      <c r="E11" s="284">
        <f>_xlfn.XLOOKUP(B11,'Final Input'!$A$4:$A$20,'Final Input'!$K$4:$K$20,"N/A",0)</f>
        <v>0</v>
      </c>
      <c r="F11" s="103"/>
      <c r="G11" s="103"/>
      <c r="H11" s="283">
        <f>_xlfn.XLOOKUP(B11,'Materiality &amp; Deep Dive'!$B$5:$B$21,'Materiality &amp; Deep Dive'!$G$5:$G$21,"N/A",0)</f>
        <v>0</v>
      </c>
      <c r="I11" s="283">
        <f t="shared" ref="I11:I26" si="1">H11</f>
        <v>0</v>
      </c>
      <c r="J11" s="283"/>
      <c r="M11" s="270"/>
    </row>
    <row r="12" spans="1:40" s="128" customFormat="1" ht="13.15">
      <c r="A12" s="285">
        <v>3</v>
      </c>
      <c r="B12" s="286" t="s">
        <v>62</v>
      </c>
      <c r="C12" s="282">
        <f>_xlfn.XLOOKUP(B12,'F_Inputs BP'!A10:A26,'F_Inputs BP'!K10:K26)</f>
        <v>0</v>
      </c>
      <c r="D12" s="283">
        <f t="shared" si="0"/>
        <v>0</v>
      </c>
      <c r="E12" s="284">
        <f>_xlfn.XLOOKUP(B12,'Final Input'!$A$4:$A$20,'Final Input'!$K$4:$K$20,"N/A",0)</f>
        <v>0</v>
      </c>
      <c r="F12" s="103"/>
      <c r="G12" s="103"/>
      <c r="H12" s="283">
        <f>_xlfn.XLOOKUP(B12,'Materiality &amp; Deep Dive'!$B$5:$B$21,'Materiality &amp; Deep Dive'!$G$5:$G$21,"N/A",0)</f>
        <v>0</v>
      </c>
      <c r="I12" s="283">
        <f t="shared" si="1"/>
        <v>0</v>
      </c>
      <c r="J12" s="283"/>
      <c r="M12" s="270"/>
    </row>
    <row r="13" spans="1:40" s="128" customFormat="1" ht="13.15">
      <c r="A13" s="285">
        <v>4</v>
      </c>
      <c r="B13" s="286" t="s">
        <v>63</v>
      </c>
      <c r="C13" s="282">
        <f>_xlfn.XLOOKUP(B13,'F_Inputs BP'!A11:A27,'F_Inputs BP'!K11:K27)</f>
        <v>2.8899999999999997</v>
      </c>
      <c r="D13" s="283">
        <f t="shared" si="0"/>
        <v>5.2359999999999998</v>
      </c>
      <c r="E13" s="284">
        <f>_xlfn.XLOOKUP(B13,'Final Input'!$A$4:$A$20,'Final Input'!$K$4:$K$20,"N/A",0)</f>
        <v>8.1259999999999994</v>
      </c>
      <c r="F13" s="103"/>
      <c r="G13" s="103"/>
      <c r="H13" s="283">
        <f>_xlfn.XLOOKUP(B13,'Materiality &amp; Deep Dive'!$B$5:$B$21,'Materiality &amp; Deep Dive'!$G$5:$G$21,"N/A",0)</f>
        <v>48.661899999999996</v>
      </c>
      <c r="I13" s="283">
        <f t="shared" si="1"/>
        <v>48.661899999999996</v>
      </c>
      <c r="J13" s="283"/>
      <c r="M13" s="270"/>
    </row>
    <row r="14" spans="1:40" s="128" customFormat="1" ht="13.15">
      <c r="A14" s="285">
        <v>5</v>
      </c>
      <c r="B14" s="286" t="s">
        <v>64</v>
      </c>
      <c r="C14" s="282">
        <f>_xlfn.XLOOKUP(B14,'F_Inputs BP'!A12:A28,'F_Inputs BP'!K12:K28)</f>
        <v>0</v>
      </c>
      <c r="D14" s="283">
        <f t="shared" si="0"/>
        <v>45.955999999999996</v>
      </c>
      <c r="E14" s="284">
        <f>_xlfn.XLOOKUP(B14,'Final Input'!$A$4:$A$20,'Final Input'!$K$4:$K$20,"N/A",0)</f>
        <v>45.955999999999996</v>
      </c>
      <c r="F14" s="103"/>
      <c r="G14" s="103"/>
      <c r="H14" s="283">
        <f>_xlfn.XLOOKUP(B14,'Materiality &amp; Deep Dive'!$B$5:$B$21,'Materiality &amp; Deep Dive'!$G$5:$G$21,"N/A",0)</f>
        <v>103.40561738049739</v>
      </c>
      <c r="I14" s="283">
        <f t="shared" si="1"/>
        <v>103.40561738049739</v>
      </c>
      <c r="J14" s="283"/>
      <c r="M14" s="270"/>
    </row>
    <row r="15" spans="1:40" s="128" customFormat="1" ht="13.15">
      <c r="A15" s="285">
        <v>6</v>
      </c>
      <c r="B15" s="286" t="s">
        <v>65</v>
      </c>
      <c r="C15" s="282">
        <f>_xlfn.XLOOKUP(B15,'F_Inputs BP'!A13:A29,'F_Inputs BP'!K13:K29)</f>
        <v>0</v>
      </c>
      <c r="D15" s="283">
        <f t="shared" si="0"/>
        <v>70.894000000000005</v>
      </c>
      <c r="E15" s="284">
        <f>_xlfn.XLOOKUP(B15,'Final Input'!$A$4:$A$20,'Final Input'!$K$4:$K$20,"N/A",0)</f>
        <v>70.894000000000005</v>
      </c>
      <c r="F15" s="103"/>
      <c r="G15" s="103"/>
      <c r="H15" s="283">
        <f>_xlfn.XLOOKUP(B15,'Materiality &amp; Deep Dive'!$B$5:$B$21,'Materiality &amp; Deep Dive'!$G$5:$G$21,"N/A",0)</f>
        <v>86.815671269782442</v>
      </c>
      <c r="I15" s="283">
        <f t="shared" si="1"/>
        <v>86.815671269782442</v>
      </c>
      <c r="J15" s="283"/>
      <c r="M15" s="270"/>
    </row>
    <row r="16" spans="1:40" s="128" customFormat="1" ht="13.15">
      <c r="A16" s="285">
        <v>7</v>
      </c>
      <c r="B16" s="286" t="s">
        <v>66</v>
      </c>
      <c r="C16" s="282">
        <f>_xlfn.XLOOKUP(B16,'F_Inputs BP'!A14:A30,'F_Inputs BP'!K14:K30)</f>
        <v>320.88200000000001</v>
      </c>
      <c r="D16" s="283">
        <f t="shared" si="0"/>
        <v>31.290999999999997</v>
      </c>
      <c r="E16" s="284">
        <f>_xlfn.XLOOKUP(B16,'Final Input'!$A$4:$A$20,'Final Input'!$K$4:$K$20,"N/A",0)</f>
        <v>352.173</v>
      </c>
      <c r="F16" s="103"/>
      <c r="G16" s="103"/>
      <c r="H16" s="283">
        <f>_xlfn.XLOOKUP(B16,'Materiality &amp; Deep Dive'!$B$5:$B$21,'Materiality &amp; Deep Dive'!$G$5:$G$21,"N/A",0)</f>
        <v>243.3550207737311</v>
      </c>
      <c r="I16" s="283">
        <f t="shared" si="1"/>
        <v>243.3550207737311</v>
      </c>
      <c r="J16" s="283"/>
      <c r="M16" s="270"/>
    </row>
    <row r="17" spans="1:13" s="128" customFormat="1" ht="13.15">
      <c r="A17" s="285">
        <v>8</v>
      </c>
      <c r="B17" s="286" t="s">
        <v>67</v>
      </c>
      <c r="C17" s="282">
        <f>_xlfn.XLOOKUP(B17,'F_Inputs BP'!A15:A31,'F_Inputs BP'!K15:K31)</f>
        <v>0</v>
      </c>
      <c r="D17" s="283">
        <f t="shared" si="0"/>
        <v>856.26365412422842</v>
      </c>
      <c r="E17" s="284">
        <f>_xlfn.XLOOKUP(B17,'Final Input'!$A$4:$A$20,'Final Input'!$K$4:$K$20,"N/A",0)</f>
        <v>856.26365412422842</v>
      </c>
      <c r="F17" s="103"/>
      <c r="G17" s="103"/>
      <c r="H17" s="283">
        <f>_xlfn.XLOOKUP(B17,'Materiality &amp; Deep Dive'!$B$5:$B$21,'Materiality &amp; Deep Dive'!$G$5:$G$21,"N/A",0)</f>
        <v>473.95285208835242</v>
      </c>
      <c r="I17" s="283">
        <f t="shared" si="1"/>
        <v>473.95285208835242</v>
      </c>
      <c r="J17" s="283">
        <f>'Development Cost Calculations'!E52</f>
        <v>363.9688836864301</v>
      </c>
      <c r="K17" s="270"/>
      <c r="M17" s="270"/>
    </row>
    <row r="18" spans="1:13" s="128" customFormat="1" ht="13.15">
      <c r="A18" s="285">
        <v>9</v>
      </c>
      <c r="B18" s="286" t="s">
        <v>68</v>
      </c>
      <c r="C18" s="282">
        <f>_xlfn.XLOOKUP(B18,'F_Inputs BP'!A16:A32,'F_Inputs BP'!K16:K32)</f>
        <v>0</v>
      </c>
      <c r="D18" s="283">
        <f t="shared" si="0"/>
        <v>41.308101895097998</v>
      </c>
      <c r="E18" s="284">
        <f>_xlfn.XLOOKUP(B18,'Final Input'!$A$4:$A$20,'Final Input'!$K$4:$K$20,"N/A",0)</f>
        <v>41.308101895097998</v>
      </c>
      <c r="F18" s="103"/>
      <c r="G18" s="103"/>
      <c r="H18" s="283">
        <f>_xlfn.XLOOKUP(B18,'Materiality &amp; Deep Dive'!$B$5:$B$21,'Materiality &amp; Deep Dive'!$G$5:$G$21,"N/A",0)</f>
        <v>32.431412592045028</v>
      </c>
      <c r="I18" s="283">
        <f t="shared" si="1"/>
        <v>32.431412592045028</v>
      </c>
      <c r="J18" s="283"/>
      <c r="M18" s="270"/>
    </row>
    <row r="19" spans="1:13" s="128" customFormat="1" ht="13.15">
      <c r="A19" s="285">
        <v>10</v>
      </c>
      <c r="B19" s="286" t="s">
        <v>69</v>
      </c>
      <c r="C19" s="282">
        <f>_xlfn.XLOOKUP(B19,'F_Inputs BP'!A17:A33,'F_Inputs BP'!K17:K33)</f>
        <v>72.278000000000006</v>
      </c>
      <c r="D19" s="283">
        <f t="shared" si="0"/>
        <v>1.1999999999972033E-3</v>
      </c>
      <c r="E19" s="284">
        <f>_xlfn.XLOOKUP(B19,'Final Input'!$A$4:$A$20,'Final Input'!$K$4:$K$20,"N/A",0)</f>
        <v>72.279200000000003</v>
      </c>
      <c r="F19" s="103"/>
      <c r="G19" s="103"/>
      <c r="H19" s="283">
        <f>_xlfn.XLOOKUP(B19,'Materiality &amp; Deep Dive'!$B$5:$B$21,'Materiality &amp; Deep Dive'!$G$5:$G$21,"N/A",0)</f>
        <v>68.152016193155205</v>
      </c>
      <c r="I19" s="283">
        <f t="shared" si="1"/>
        <v>68.152016193155205</v>
      </c>
      <c r="J19" s="283"/>
      <c r="M19" s="270"/>
    </row>
    <row r="20" spans="1:13" s="128" customFormat="1" ht="13.15">
      <c r="A20" s="285">
        <v>11</v>
      </c>
      <c r="B20" s="286" t="s">
        <v>70</v>
      </c>
      <c r="C20" s="282">
        <f>_xlfn.XLOOKUP(B20,'F_Inputs BP'!A18:A34,'F_Inputs BP'!K18:K34)</f>
        <v>35.432396800000006</v>
      </c>
      <c r="D20" s="283">
        <f t="shared" si="0"/>
        <v>-3.9680000000430482E-4</v>
      </c>
      <c r="E20" s="284">
        <f>_xlfn.XLOOKUP(B20,'Final Input'!$A$4:$A$20,'Final Input'!$K$4:$K$20,"N/A",0)</f>
        <v>35.432000000000002</v>
      </c>
      <c r="F20" s="103"/>
      <c r="G20" s="103"/>
      <c r="H20" s="283">
        <f>_xlfn.XLOOKUP(B20,'Materiality &amp; Deep Dive'!$B$5:$B$21,'Materiality &amp; Deep Dive'!$G$5:$G$21,"N/A",0)</f>
        <v>68.955407840753196</v>
      </c>
      <c r="I20" s="283">
        <f t="shared" si="1"/>
        <v>68.955407840753196</v>
      </c>
      <c r="J20" s="283"/>
      <c r="M20" s="270" t="s">
        <v>345</v>
      </c>
    </row>
    <row r="21" spans="1:13" s="128" customFormat="1" ht="13.15">
      <c r="A21" s="285">
        <v>12</v>
      </c>
      <c r="B21" s="286" t="s">
        <v>71</v>
      </c>
      <c r="C21" s="282">
        <f>_xlfn.XLOOKUP(B21,'F_Inputs BP'!A19:A35,'F_Inputs BP'!K19:K35)</f>
        <v>73.856999999999999</v>
      </c>
      <c r="D21" s="283">
        <f t="shared" si="0"/>
        <v>-1.4769999999999897</v>
      </c>
      <c r="E21" s="284">
        <f>_xlfn.XLOOKUP(B21,'Final Input'!$A$4:$A$20,'Final Input'!$K$4:$K$20,"N/A",0)</f>
        <v>72.38000000000001</v>
      </c>
      <c r="F21" s="103"/>
      <c r="G21" s="103"/>
      <c r="H21" s="283">
        <f>_xlfn.XLOOKUP(B21,'Materiality &amp; Deep Dive'!$B$5:$B$21,'Materiality &amp; Deep Dive'!$G$5:$G$21,"N/A",0)</f>
        <v>66.200436190215214</v>
      </c>
      <c r="I21" s="283">
        <f t="shared" si="1"/>
        <v>66.200436190215214</v>
      </c>
      <c r="J21" s="283"/>
      <c r="M21" s="270"/>
    </row>
    <row r="22" spans="1:13" s="128" customFormat="1" ht="13.15">
      <c r="A22" s="285">
        <v>13</v>
      </c>
      <c r="B22" s="286" t="s">
        <v>72</v>
      </c>
      <c r="C22" s="282">
        <f>_xlfn.XLOOKUP(B22,'F_Inputs BP'!A20:A36,'F_Inputs BP'!K20:K36)</f>
        <v>0</v>
      </c>
      <c r="D22" s="283">
        <f t="shared" si="0"/>
        <v>0</v>
      </c>
      <c r="E22" s="284">
        <f>_xlfn.XLOOKUP(B22,'Final Input'!$A$4:$A$20,'Final Input'!$K$4:$K$20,"N/A",0)</f>
        <v>0</v>
      </c>
      <c r="F22" s="103"/>
      <c r="G22" s="103"/>
      <c r="H22" s="283">
        <f>_xlfn.XLOOKUP(B22,'Materiality &amp; Deep Dive'!$B$5:$B$21,'Materiality &amp; Deep Dive'!$G$5:$G$21,"N/A",0)</f>
        <v>0</v>
      </c>
      <c r="I22" s="283">
        <f t="shared" si="1"/>
        <v>0</v>
      </c>
      <c r="J22" s="283"/>
      <c r="M22" s="270"/>
    </row>
    <row r="23" spans="1:13" s="128" customFormat="1" ht="13.15">
      <c r="A23" s="285">
        <v>14</v>
      </c>
      <c r="B23" s="286" t="s">
        <v>73</v>
      </c>
      <c r="C23" s="282">
        <f>_xlfn.XLOOKUP(B23,'F_Inputs BP'!A21:A37,'F_Inputs BP'!K21:K37)</f>
        <v>0</v>
      </c>
      <c r="D23" s="283">
        <f t="shared" si="0"/>
        <v>0</v>
      </c>
      <c r="E23" s="284">
        <f>_xlfn.XLOOKUP(B23,'Final Input'!$A$4:$A$20,'Final Input'!$K$4:$K$20,"N/A",0)</f>
        <v>0</v>
      </c>
      <c r="F23" s="103"/>
      <c r="G23" s="103"/>
      <c r="H23" s="283">
        <f>_xlfn.XLOOKUP(B23,'Materiality &amp; Deep Dive'!$B$5:$B$21,'Materiality &amp; Deep Dive'!$G$5:$G$21,"N/A",0)</f>
        <v>0</v>
      </c>
      <c r="I23" s="283">
        <f t="shared" si="1"/>
        <v>0</v>
      </c>
      <c r="J23" s="283"/>
      <c r="M23" s="270"/>
    </row>
    <row r="24" spans="1:13" s="128" customFormat="1" ht="13.15">
      <c r="A24" s="285">
        <v>15</v>
      </c>
      <c r="B24" s="286" t="s">
        <v>74</v>
      </c>
      <c r="C24" s="282">
        <f>_xlfn.XLOOKUP(B24,'F_Inputs BP'!A22:A38,'F_Inputs BP'!K22:K38)</f>
        <v>60.589829000000009</v>
      </c>
      <c r="D24" s="283">
        <f t="shared" si="0"/>
        <v>2.9401709999999923</v>
      </c>
      <c r="E24" s="284">
        <f>_xlfn.XLOOKUP(B24,'Final Input'!$A$4:$A$20,'Final Input'!$K$4:$K$20,"N/A",0)</f>
        <v>63.53</v>
      </c>
      <c r="F24" s="103"/>
      <c r="G24" s="103"/>
      <c r="H24" s="283">
        <f>_xlfn.XLOOKUP(B24,'Materiality &amp; Deep Dive'!$B$5:$B$21,'Materiality &amp; Deep Dive'!$G$5:$G$21,"N/A",0)</f>
        <v>72.31132366818369</v>
      </c>
      <c r="I24" s="283">
        <f t="shared" si="1"/>
        <v>72.31132366818369</v>
      </c>
      <c r="J24" s="283"/>
      <c r="M24" s="270"/>
    </row>
    <row r="25" spans="1:13" s="128" customFormat="1" ht="13.15">
      <c r="A25" s="285">
        <v>16</v>
      </c>
      <c r="B25" s="286" t="s">
        <v>75</v>
      </c>
      <c r="C25" s="282">
        <f>_xlfn.XLOOKUP(B25,'F_Inputs BP'!A23:A39,'F_Inputs BP'!K23:K39)</f>
        <v>3.3</v>
      </c>
      <c r="D25" s="283">
        <f t="shared" si="0"/>
        <v>-3.3</v>
      </c>
      <c r="E25" s="284">
        <f>_xlfn.XLOOKUP(B25,'Final Input'!$A$4:$A$20,'Final Input'!$K$4:$K$20,"N/A",0)</f>
        <v>0</v>
      </c>
      <c r="F25" s="103"/>
      <c r="G25" s="103"/>
      <c r="H25" s="283">
        <f>_xlfn.XLOOKUP(B25,'Materiality &amp; Deep Dive'!$B$5:$B$21,'Materiality &amp; Deep Dive'!$G$5:$G$21,"N/A",0)</f>
        <v>0</v>
      </c>
      <c r="I25" s="283">
        <f t="shared" si="1"/>
        <v>0</v>
      </c>
      <c r="J25" s="283"/>
      <c r="M25" s="270"/>
    </row>
    <row r="26" spans="1:13" s="128" customFormat="1" ht="13.15">
      <c r="A26" s="285">
        <v>17</v>
      </c>
      <c r="B26" s="286" t="s">
        <v>76</v>
      </c>
      <c r="C26" s="282">
        <f>_xlfn.XLOOKUP(B26,'F_Inputs BP'!A24:A40,'F_Inputs BP'!K24:K40)</f>
        <v>0</v>
      </c>
      <c r="D26" s="283">
        <f t="shared" si="0"/>
        <v>0</v>
      </c>
      <c r="E26" s="284">
        <f>_xlfn.XLOOKUP(B26,'Final Input'!$A$4:$A$20,'Final Input'!$K$4:$K$20,"N/A",0)</f>
        <v>0</v>
      </c>
      <c r="F26" s="103"/>
      <c r="G26" s="103"/>
      <c r="H26" s="283">
        <f>_xlfn.XLOOKUP(B26,'Materiality &amp; Deep Dive'!$B$5:$B$21,'Materiality &amp; Deep Dive'!$G$5:$G$21,"N/A",0)</f>
        <v>0</v>
      </c>
      <c r="I26" s="283">
        <f t="shared" si="1"/>
        <v>0</v>
      </c>
      <c r="J26" s="283"/>
      <c r="M26" s="270"/>
    </row>
    <row r="27" spans="1:13" s="128" customFormat="1" ht="13.15">
      <c r="A27" s="276"/>
      <c r="B27" s="287" t="s">
        <v>89</v>
      </c>
      <c r="C27" s="288">
        <f>SUM(C10:C26)</f>
        <v>569.22922579999999</v>
      </c>
      <c r="D27" s="288">
        <f t="shared" ref="D27:E27" si="2">SUM(D10:D26)</f>
        <v>1795.2567302193263</v>
      </c>
      <c r="E27" s="288">
        <f t="shared" si="2"/>
        <v>2364.4859560193267</v>
      </c>
      <c r="F27" s="289"/>
      <c r="G27" s="289"/>
      <c r="H27" s="290">
        <f>SUM(H10:H26)</f>
        <v>2074.745161852898</v>
      </c>
      <c r="I27" s="291">
        <f>SUM(I10:I26)</f>
        <v>2074.745161852898</v>
      </c>
      <c r="J27" s="291">
        <f>SUM(J10:J26)</f>
        <v>363.9688836864301</v>
      </c>
    </row>
    <row r="29" spans="1:13">
      <c r="H29" s="29"/>
      <c r="I29" s="29"/>
    </row>
    <row r="30" spans="1:13">
      <c r="I30" s="116"/>
    </row>
  </sheetData>
  <mergeCells count="1">
    <mergeCell ref="A3:M3"/>
  </mergeCell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35817-AC90-433E-A4E1-8A04D98A44AB}">
  <sheetPr>
    <tabColor rgb="FF98C561"/>
  </sheetPr>
  <dimension ref="A1:AN44"/>
  <sheetViews>
    <sheetView zoomScale="80" zoomScaleNormal="80" workbookViewId="0"/>
  </sheetViews>
  <sheetFormatPr defaultRowHeight="12.75"/>
  <cols>
    <col min="2" max="2" width="30.28515625" bestFit="1" customWidth="1"/>
    <col min="3" max="3" width="12.42578125" bestFit="1" customWidth="1"/>
    <col min="4" max="5" width="11.28515625" customWidth="1"/>
    <col min="6" max="6" width="13.140625" customWidth="1"/>
    <col min="7" max="7" width="12.5703125" customWidth="1"/>
    <col min="8" max="8" width="16.85546875" customWidth="1"/>
    <col min="9" max="9" width="14.42578125" customWidth="1"/>
    <col min="10" max="10" width="10" customWidth="1"/>
    <col min="11" max="11" width="13" customWidth="1"/>
    <col min="12" max="12" width="12.5703125" bestFit="1" customWidth="1"/>
    <col min="13" max="13" width="12.85546875" customWidth="1"/>
    <col min="14" max="14" width="13.42578125" customWidth="1"/>
    <col min="15" max="15" width="14.140625" customWidth="1"/>
    <col min="16" max="16" width="14" customWidth="1"/>
    <col min="17" max="17" width="14.140625" customWidth="1"/>
    <col min="18" max="18" width="14" customWidth="1"/>
  </cols>
  <sheetData>
    <row r="1" spans="1:40" s="209" customFormat="1" ht="32.85" customHeight="1">
      <c r="A1" s="210" t="e">
        <f ca="1" xml:space="preserve"> RIGHT(CELL("filename", A1), LEN(CELL("filename", A1)) - SEARCH("]", CELL("filename", A1)))</f>
        <v>#VALUE!</v>
      </c>
      <c r="B1" s="210"/>
      <c r="C1" s="210"/>
      <c r="D1" s="210"/>
      <c r="E1" s="210"/>
      <c r="F1" s="210"/>
      <c r="G1" s="210"/>
      <c r="H1" s="210"/>
      <c r="I1" s="210"/>
      <c r="J1" s="210"/>
      <c r="K1" s="210"/>
      <c r="L1" s="210"/>
      <c r="M1" s="210"/>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row>
    <row r="3" spans="1:40" ht="13.15">
      <c r="B3" s="41"/>
      <c r="C3" s="41"/>
      <c r="D3" s="41"/>
      <c r="E3" s="41"/>
    </row>
    <row r="4" spans="1:40" ht="14.25">
      <c r="B4" s="222" t="s">
        <v>346</v>
      </c>
      <c r="C4" s="184"/>
      <c r="D4" s="184"/>
      <c r="E4" s="184"/>
    </row>
    <row r="5" spans="1:40" s="128" customFormat="1" ht="13.15">
      <c r="B5" s="219" t="s">
        <v>347</v>
      </c>
      <c r="C5" s="220" t="s">
        <v>82</v>
      </c>
      <c r="D5" s="220" t="s">
        <v>348</v>
      </c>
      <c r="E5" s="220" t="s">
        <v>349</v>
      </c>
      <c r="F5" s="220" t="s">
        <v>350</v>
      </c>
      <c r="G5" s="220" t="s">
        <v>351</v>
      </c>
      <c r="H5" s="220" t="s">
        <v>352</v>
      </c>
      <c r="I5" s="221" t="s">
        <v>89</v>
      </c>
    </row>
    <row r="6" spans="1:40" ht="13.15">
      <c r="B6" s="37" t="s">
        <v>141</v>
      </c>
      <c r="C6" s="186" t="s">
        <v>60</v>
      </c>
      <c r="D6" s="38">
        <v>0</v>
      </c>
      <c r="E6" s="38">
        <v>0</v>
      </c>
      <c r="F6" s="24">
        <v>0</v>
      </c>
      <c r="G6" s="24">
        <v>37.326200073887463</v>
      </c>
      <c r="H6" s="24">
        <v>0</v>
      </c>
      <c r="I6" s="153">
        <f>SUM(D6:H6)</f>
        <v>37.326200073887463</v>
      </c>
    </row>
    <row r="7" spans="1:40" ht="13.15">
      <c r="B7" s="37" t="s">
        <v>133</v>
      </c>
      <c r="C7" s="186" t="s">
        <v>60</v>
      </c>
      <c r="D7" s="38">
        <v>0</v>
      </c>
      <c r="E7" s="38">
        <v>0</v>
      </c>
      <c r="F7" s="24">
        <v>9.96321988749688</v>
      </c>
      <c r="G7" s="24">
        <v>10.735356955785182</v>
      </c>
      <c r="H7" s="24">
        <v>62.82201484813806</v>
      </c>
      <c r="I7" s="153">
        <f t="shared" ref="I7:I23" si="0">SUM(D7:H7)</f>
        <v>83.520591691420123</v>
      </c>
    </row>
    <row r="8" spans="1:40" ht="13.15">
      <c r="B8" s="37" t="s">
        <v>117</v>
      </c>
      <c r="C8" s="186" t="s">
        <v>60</v>
      </c>
      <c r="D8" s="38">
        <v>0</v>
      </c>
      <c r="E8" s="38">
        <v>0</v>
      </c>
      <c r="F8" s="24">
        <v>0</v>
      </c>
      <c r="G8" s="24">
        <v>269.3533285553969</v>
      </c>
      <c r="H8" s="24">
        <v>190.7583885108823</v>
      </c>
      <c r="I8" s="153">
        <f t="shared" si="0"/>
        <v>460.1117170662792</v>
      </c>
    </row>
    <row r="9" spans="1:40" ht="13.15">
      <c r="B9" s="37" t="s">
        <v>106</v>
      </c>
      <c r="C9" s="186" t="s">
        <v>60</v>
      </c>
      <c r="D9" s="38">
        <v>0</v>
      </c>
      <c r="E9" s="38">
        <v>0</v>
      </c>
      <c r="F9" s="24">
        <v>0</v>
      </c>
      <c r="G9" s="24">
        <v>24.566006528953185</v>
      </c>
      <c r="H9" s="24">
        <v>13.947338471046812</v>
      </c>
      <c r="I9" s="153">
        <f t="shared" si="0"/>
        <v>38.513345000000001</v>
      </c>
    </row>
    <row r="10" spans="1:40" ht="13.15">
      <c r="B10" s="37" t="s">
        <v>138</v>
      </c>
      <c r="C10" s="186" t="s">
        <v>60</v>
      </c>
      <c r="D10" s="38">
        <v>0</v>
      </c>
      <c r="E10" s="38">
        <v>0</v>
      </c>
      <c r="F10" s="24">
        <v>0</v>
      </c>
      <c r="G10" s="24">
        <v>19.817577324626509</v>
      </c>
      <c r="H10" s="24">
        <v>73.826270397133243</v>
      </c>
      <c r="I10" s="153">
        <f t="shared" si="0"/>
        <v>93.643847721759755</v>
      </c>
    </row>
    <row r="11" spans="1:40" ht="13.15">
      <c r="B11" s="37" t="s">
        <v>116</v>
      </c>
      <c r="C11" s="186" t="s">
        <v>60</v>
      </c>
      <c r="D11" s="38">
        <v>0</v>
      </c>
      <c r="E11" s="38">
        <v>0</v>
      </c>
      <c r="F11" s="24">
        <v>0</v>
      </c>
      <c r="G11" s="24">
        <v>43.681275444073876</v>
      </c>
      <c r="H11" s="24">
        <v>149.53769461763761</v>
      </c>
      <c r="I11" s="153">
        <f t="shared" si="0"/>
        <v>193.2189700617115</v>
      </c>
    </row>
    <row r="12" spans="1:40" ht="13.15">
      <c r="B12" s="37" t="s">
        <v>134</v>
      </c>
      <c r="C12" s="186" t="s">
        <v>60</v>
      </c>
      <c r="D12" s="38">
        <v>0</v>
      </c>
      <c r="E12" s="38">
        <v>0</v>
      </c>
      <c r="F12" s="24">
        <v>15.562764622571882</v>
      </c>
      <c r="G12" s="24">
        <v>17.249036048945637</v>
      </c>
      <c r="H12" s="24">
        <v>5.9</v>
      </c>
      <c r="I12" s="153">
        <f t="shared" si="0"/>
        <v>38.711800671517516</v>
      </c>
    </row>
    <row r="13" spans="1:40" ht="13.15">
      <c r="B13" s="37" t="s">
        <v>108</v>
      </c>
      <c r="C13" s="186" t="s">
        <v>60</v>
      </c>
      <c r="D13" s="38">
        <v>0</v>
      </c>
      <c r="E13" s="38">
        <v>0</v>
      </c>
      <c r="F13" s="24">
        <v>0</v>
      </c>
      <c r="G13" s="24">
        <v>8.0909536560517701</v>
      </c>
      <c r="H13" s="24">
        <v>7.5549695646943116</v>
      </c>
      <c r="I13" s="153">
        <f t="shared" si="0"/>
        <v>15.645923220746081</v>
      </c>
    </row>
    <row r="14" spans="1:40" ht="13.15">
      <c r="B14" s="37" t="s">
        <v>144</v>
      </c>
      <c r="C14" s="186" t="s">
        <v>60</v>
      </c>
      <c r="D14" s="38">
        <v>0</v>
      </c>
      <c r="E14" s="38">
        <v>0</v>
      </c>
      <c r="F14" s="24">
        <v>8.6193533110481599</v>
      </c>
      <c r="G14" s="24">
        <v>18.160222380996871</v>
      </c>
      <c r="H14" s="24">
        <v>0</v>
      </c>
      <c r="I14" s="153">
        <f t="shared" si="0"/>
        <v>26.779575692045029</v>
      </c>
    </row>
    <row r="15" spans="1:40" ht="13.15">
      <c r="B15" s="37" t="s">
        <v>114</v>
      </c>
      <c r="C15" s="186" t="s">
        <v>60</v>
      </c>
      <c r="D15" s="38">
        <v>0</v>
      </c>
      <c r="E15" s="38">
        <v>0</v>
      </c>
      <c r="F15" s="24">
        <v>7.7099999999999991</v>
      </c>
      <c r="G15" s="24">
        <v>0</v>
      </c>
      <c r="H15" s="24">
        <v>0</v>
      </c>
      <c r="I15" s="153">
        <f t="shared" si="0"/>
        <v>7.7099999999999991</v>
      </c>
    </row>
    <row r="16" spans="1:40" ht="13.15" customHeight="1">
      <c r="B16" s="37" t="s">
        <v>131</v>
      </c>
      <c r="C16" s="186" t="s">
        <v>60</v>
      </c>
      <c r="D16" s="38">
        <v>0</v>
      </c>
      <c r="E16" s="38">
        <v>0</v>
      </c>
      <c r="F16" s="24">
        <v>6.3927729484546054</v>
      </c>
      <c r="G16" s="24">
        <v>10.960840060924207</v>
      </c>
      <c r="H16" s="24">
        <v>14.192491990621189</v>
      </c>
      <c r="I16" s="153">
        <f t="shared" si="0"/>
        <v>31.546105000000001</v>
      </c>
    </row>
    <row r="17" spans="2:9" ht="13.15">
      <c r="B17" s="37" t="s">
        <v>102</v>
      </c>
      <c r="C17" s="186" t="s">
        <v>60</v>
      </c>
      <c r="D17" s="38">
        <v>0</v>
      </c>
      <c r="E17" s="38">
        <v>0</v>
      </c>
      <c r="F17" s="24">
        <v>0</v>
      </c>
      <c r="G17" s="24">
        <v>99.472563560186359</v>
      </c>
      <c r="H17" s="24">
        <v>323.58565528389374</v>
      </c>
      <c r="I17" s="153">
        <f t="shared" si="0"/>
        <v>423.0582188440801</v>
      </c>
    </row>
    <row r="18" spans="2:9" ht="13.15">
      <c r="B18" s="37" t="s">
        <v>124</v>
      </c>
      <c r="C18" s="186" t="s">
        <v>60</v>
      </c>
      <c r="D18" s="38">
        <v>0</v>
      </c>
      <c r="E18" s="38">
        <v>0</v>
      </c>
      <c r="F18" s="24">
        <v>1.47</v>
      </c>
      <c r="G18" s="24">
        <v>0</v>
      </c>
      <c r="H18" s="24">
        <v>0</v>
      </c>
      <c r="I18" s="153">
        <f t="shared" si="0"/>
        <v>1.47</v>
      </c>
    </row>
    <row r="19" spans="2:9" ht="13.15">
      <c r="B19" s="37" t="s">
        <v>125</v>
      </c>
      <c r="C19" s="186" t="s">
        <v>60</v>
      </c>
      <c r="D19" s="38">
        <v>0</v>
      </c>
      <c r="E19" s="38">
        <v>7.5375500783390672</v>
      </c>
      <c r="F19" s="24">
        <v>15.067098262437609</v>
      </c>
      <c r="G19" s="24">
        <v>12.75215964997652</v>
      </c>
      <c r="H19" s="24">
        <v>0</v>
      </c>
      <c r="I19" s="153">
        <f t="shared" si="0"/>
        <v>35.356807990753197</v>
      </c>
    </row>
    <row r="20" spans="2:9" ht="13.15">
      <c r="B20" s="37" t="s">
        <v>122</v>
      </c>
      <c r="C20" s="186" t="s">
        <v>60</v>
      </c>
      <c r="D20" s="38">
        <v>0</v>
      </c>
      <c r="E20" s="38">
        <v>0</v>
      </c>
      <c r="F20" s="24">
        <v>32.120480491599999</v>
      </c>
      <c r="G20" s="24">
        <v>0</v>
      </c>
      <c r="H20" s="24">
        <v>0</v>
      </c>
      <c r="I20" s="153">
        <f t="shared" si="0"/>
        <v>32.120480491599999</v>
      </c>
    </row>
    <row r="21" spans="2:9" ht="13.15">
      <c r="B21" s="37" t="s">
        <v>109</v>
      </c>
      <c r="C21" s="186" t="s">
        <v>60</v>
      </c>
      <c r="D21" s="38">
        <v>0</v>
      </c>
      <c r="E21" s="38">
        <v>0</v>
      </c>
      <c r="F21" s="24">
        <v>6.1480000000000006</v>
      </c>
      <c r="G21" s="24">
        <v>0</v>
      </c>
      <c r="H21" s="24">
        <v>0</v>
      </c>
      <c r="I21" s="153">
        <f t="shared" si="0"/>
        <v>6.1480000000000006</v>
      </c>
    </row>
    <row r="22" spans="2:9" ht="13.15">
      <c r="B22" s="37" t="s">
        <v>139</v>
      </c>
      <c r="C22" s="186" t="s">
        <v>60</v>
      </c>
      <c r="D22" s="38">
        <v>0</v>
      </c>
      <c r="E22" s="38">
        <v>0</v>
      </c>
      <c r="F22" s="24">
        <v>42.37184632038975</v>
      </c>
      <c r="G22" s="24">
        <v>36.177644831648578</v>
      </c>
      <c r="H22" s="24">
        <v>0</v>
      </c>
      <c r="I22" s="153">
        <f t="shared" si="0"/>
        <v>78.549491152038328</v>
      </c>
    </row>
    <row r="23" spans="2:9" ht="13.15">
      <c r="B23" s="178" t="s">
        <v>142</v>
      </c>
      <c r="C23" s="186" t="s">
        <v>60</v>
      </c>
      <c r="D23" s="185">
        <v>0</v>
      </c>
      <c r="E23" s="185">
        <v>0</v>
      </c>
      <c r="F23" s="24">
        <v>0</v>
      </c>
      <c r="G23" s="24">
        <v>10.583272772245678</v>
      </c>
      <c r="H23" s="24">
        <v>20.466754862638439</v>
      </c>
      <c r="I23" s="153">
        <f t="shared" si="0"/>
        <v>31.050027634884117</v>
      </c>
    </row>
    <row r="24" spans="2:9">
      <c r="I24" s="29"/>
    </row>
    <row r="25" spans="2:9" ht="13.15">
      <c r="B25" s="222" t="s">
        <v>353</v>
      </c>
    </row>
    <row r="26" spans="2:9" ht="13.15">
      <c r="B26" s="219" t="s">
        <v>347</v>
      </c>
      <c r="C26" s="220" t="s">
        <v>82</v>
      </c>
      <c r="D26" s="220" t="s">
        <v>348</v>
      </c>
      <c r="E26" s="220" t="s">
        <v>349</v>
      </c>
      <c r="F26" s="220" t="s">
        <v>350</v>
      </c>
      <c r="G26" s="220" t="s">
        <v>351</v>
      </c>
      <c r="H26" s="220" t="s">
        <v>352</v>
      </c>
      <c r="I26" s="221" t="s">
        <v>89</v>
      </c>
    </row>
    <row r="27" spans="2:9" ht="13.15" customHeight="1">
      <c r="B27" s="37" t="s">
        <v>110</v>
      </c>
      <c r="C27" s="186" t="s">
        <v>60</v>
      </c>
      <c r="D27" s="24">
        <v>3.4509062060206102</v>
      </c>
      <c r="E27" s="24">
        <v>3.4509062060206102</v>
      </c>
      <c r="F27" s="24">
        <v>23.801318196393126</v>
      </c>
      <c r="G27" s="24">
        <v>23.763548570901349</v>
      </c>
      <c r="H27" s="24">
        <v>22.625091555652602</v>
      </c>
      <c r="I27" s="153">
        <f t="shared" ref="I27:I31" si="1">SUM(D27:H27)</f>
        <v>77.091770734988302</v>
      </c>
    </row>
    <row r="28" spans="2:9" ht="13.15">
      <c r="B28" s="37" t="s">
        <v>120</v>
      </c>
      <c r="C28" s="186" t="s">
        <v>60</v>
      </c>
      <c r="D28" s="24">
        <v>0</v>
      </c>
      <c r="E28" s="24">
        <v>7.8595506237313666</v>
      </c>
      <c r="F28" s="24">
        <v>10.988962322420631</v>
      </c>
      <c r="G28" s="24">
        <v>7.7494526154753673</v>
      </c>
      <c r="H28" s="24">
        <v>23.559524606556316</v>
      </c>
      <c r="I28" s="153">
        <f t="shared" si="1"/>
        <v>50.157490168183685</v>
      </c>
    </row>
    <row r="29" spans="2:9" ht="13.15">
      <c r="B29" s="37" t="s">
        <v>118</v>
      </c>
      <c r="C29" s="186" t="s">
        <v>60</v>
      </c>
      <c r="D29" s="38">
        <v>0</v>
      </c>
      <c r="E29" s="38">
        <v>8.5693692131809165</v>
      </c>
      <c r="F29" s="24">
        <v>15.242540728104574</v>
      </c>
      <c r="G29" s="24">
        <v>1.9373480587145093</v>
      </c>
      <c r="H29" s="24">
        <v>0</v>
      </c>
      <c r="I29" s="153">
        <f>SUM(D29:H29)</f>
        <v>25.749258000000001</v>
      </c>
    </row>
    <row r="30" spans="2:9" ht="13.15">
      <c r="B30" s="39" t="s">
        <v>143</v>
      </c>
      <c r="C30" s="186" t="s">
        <v>60</v>
      </c>
      <c r="D30" s="153">
        <v>0</v>
      </c>
      <c r="E30" s="153">
        <v>5.2409845831412269</v>
      </c>
      <c r="F30" s="153">
        <v>12.228964027329532</v>
      </c>
      <c r="G30" s="153">
        <v>13.975958888376608</v>
      </c>
      <c r="H30" s="153">
        <v>32.117590508725634</v>
      </c>
      <c r="I30" s="153">
        <f t="shared" si="1"/>
        <v>63.563498007573003</v>
      </c>
    </row>
    <row r="31" spans="2:9" ht="13.15">
      <c r="B31" s="37" t="s">
        <v>149</v>
      </c>
      <c r="C31" s="186" t="s">
        <v>60</v>
      </c>
      <c r="D31" s="153">
        <v>3.5394320037653184</v>
      </c>
      <c r="E31" s="153">
        <v>3.5394320037653184</v>
      </c>
      <c r="F31" s="153">
        <v>19.984824520866926</v>
      </c>
      <c r="G31" s="153">
        <v>19.778506874567636</v>
      </c>
      <c r="H31" s="153">
        <v>25.528878777034787</v>
      </c>
      <c r="I31" s="153">
        <f t="shared" si="1"/>
        <v>72.371074179999994</v>
      </c>
    </row>
    <row r="32" spans="2:9" ht="13.15">
      <c r="B32" s="37" t="s">
        <v>153</v>
      </c>
      <c r="C32" s="186" t="s">
        <v>60</v>
      </c>
      <c r="D32" s="153">
        <v>0.6359660879791581</v>
      </c>
      <c r="E32" s="153">
        <v>1.8835395333665474</v>
      </c>
      <c r="F32" s="153">
        <v>8.3832817522580605</v>
      </c>
      <c r="G32" s="153">
        <v>11.251062626396225</v>
      </c>
      <c r="H32" s="153">
        <v>0</v>
      </c>
      <c r="I32" s="153">
        <f>SUM(D32:H32)</f>
        <v>22.153849999999991</v>
      </c>
    </row>
    <row r="33" spans="2:9" ht="13.15">
      <c r="B33" s="37" t="s">
        <v>151</v>
      </c>
      <c r="C33" s="186" t="s">
        <v>60</v>
      </c>
      <c r="D33" s="153">
        <v>1.2877553627946499</v>
      </c>
      <c r="E33" s="153">
        <v>3.8139425685980819</v>
      </c>
      <c r="F33" s="153">
        <v>16.97514417567913</v>
      </c>
      <c r="G33" s="153">
        <v>22.782057892928123</v>
      </c>
      <c r="H33" s="153">
        <v>0</v>
      </c>
      <c r="I33" s="153">
        <f>SUM(D33:H33)</f>
        <v>44.858899999999984</v>
      </c>
    </row>
    <row r="34" spans="2:9" ht="13.15">
      <c r="B34" s="37" t="s">
        <v>130</v>
      </c>
      <c r="C34" s="186" t="s">
        <v>60</v>
      </c>
      <c r="D34" s="153">
        <v>4.6072695241415369</v>
      </c>
      <c r="E34" s="153">
        <v>6.8682203873975967</v>
      </c>
      <c r="F34" s="153">
        <v>15.328677223287434</v>
      </c>
      <c r="G34" s="153">
        <v>1.3741613651734359</v>
      </c>
      <c r="H34" s="153">
        <v>0</v>
      </c>
      <c r="I34" s="153">
        <f t="shared" ref="I34:I35" si="2">SUM(D34:H34)</f>
        <v>28.178328500000003</v>
      </c>
    </row>
    <row r="35" spans="2:9" ht="13.15">
      <c r="B35" s="37" t="s">
        <v>128</v>
      </c>
      <c r="C35" s="186" t="s">
        <v>60</v>
      </c>
      <c r="D35" s="153">
        <v>3.8445440195280716</v>
      </c>
      <c r="E35" s="153">
        <v>5.7316669039869792</v>
      </c>
      <c r="F35" s="153">
        <v>12.799787062652562</v>
      </c>
      <c r="G35" s="153">
        <v>2.8694270138323841</v>
      </c>
      <c r="H35" s="153">
        <v>0</v>
      </c>
      <c r="I35" s="153">
        <f t="shared" si="2"/>
        <v>25.245424999999997</v>
      </c>
    </row>
    <row r="36" spans="2:9" ht="13.15">
      <c r="B36" s="37" t="s">
        <v>155</v>
      </c>
      <c r="C36" s="186" t="s">
        <v>60</v>
      </c>
      <c r="D36" s="153">
        <v>0.8526408624743369</v>
      </c>
      <c r="E36" s="153">
        <v>2.5252647941297059</v>
      </c>
      <c r="F36" s="153">
        <v>11.239480718734384</v>
      </c>
      <c r="G36" s="153">
        <v>15.084319624661562</v>
      </c>
      <c r="H36" s="153">
        <v>0</v>
      </c>
      <c r="I36" s="153">
        <f>SUM(D36:H36)</f>
        <v>29.701705999999987</v>
      </c>
    </row>
    <row r="38" spans="2:9">
      <c r="B38" s="372" t="s">
        <v>354</v>
      </c>
      <c r="C38" s="373"/>
      <c r="D38" s="373"/>
      <c r="E38" s="373"/>
      <c r="F38" s="373"/>
      <c r="G38" s="373"/>
      <c r="H38" s="373"/>
      <c r="I38" s="374"/>
    </row>
    <row r="39" spans="2:9">
      <c r="B39" s="375"/>
      <c r="C39" s="376"/>
      <c r="D39" s="376"/>
      <c r="E39" s="376"/>
      <c r="F39" s="376"/>
      <c r="G39" s="376"/>
      <c r="H39" s="376"/>
      <c r="I39" s="377"/>
    </row>
    <row r="40" spans="2:9">
      <c r="B40" s="375"/>
      <c r="C40" s="376"/>
      <c r="D40" s="376"/>
      <c r="E40" s="376"/>
      <c r="F40" s="376"/>
      <c r="G40" s="376"/>
      <c r="H40" s="376"/>
      <c r="I40" s="377"/>
    </row>
    <row r="41" spans="2:9">
      <c r="B41" s="378"/>
      <c r="C41" s="379"/>
      <c r="D41" s="379"/>
      <c r="E41" s="379"/>
      <c r="F41" s="379"/>
      <c r="G41" s="379"/>
      <c r="H41" s="379"/>
      <c r="I41" s="380"/>
    </row>
    <row r="43" spans="2:9" ht="13.15">
      <c r="C43" s="221" t="s">
        <v>355</v>
      </c>
      <c r="D43" s="223" t="s">
        <v>348</v>
      </c>
      <c r="E43" s="221" t="s">
        <v>349</v>
      </c>
      <c r="F43" s="221" t="s">
        <v>350</v>
      </c>
      <c r="G43" s="221" t="s">
        <v>351</v>
      </c>
    </row>
    <row r="44" spans="2:9" ht="13.15">
      <c r="C44" s="218" t="s">
        <v>356</v>
      </c>
      <c r="D44" s="46">
        <v>2.8706797598573527E-2</v>
      </c>
      <c r="E44" s="46">
        <v>8.5020866953895033E-2</v>
      </c>
      <c r="F44" s="46">
        <v>0.37841195784290588</v>
      </c>
      <c r="G44" s="46">
        <v>0.50786037760462521</v>
      </c>
    </row>
  </sheetData>
  <mergeCells count="1">
    <mergeCell ref="B38:I41"/>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68CF00-701B-4EB4-8BCD-5BE51E6C7F43}">
  <sheetPr>
    <tabColor rgb="FF98C561"/>
  </sheetPr>
  <dimension ref="A1:AM93"/>
  <sheetViews>
    <sheetView zoomScale="80" zoomScaleNormal="80" workbookViewId="0"/>
  </sheetViews>
  <sheetFormatPr defaultRowHeight="12.75"/>
  <cols>
    <col min="3" max="3" width="11.140625" bestFit="1" customWidth="1"/>
    <col min="4" max="10" width="10.140625" customWidth="1"/>
    <col min="12" max="12" width="9.28515625" bestFit="1" customWidth="1"/>
    <col min="13" max="18" width="10.7109375" customWidth="1"/>
    <col min="22" max="22" width="7.7109375" customWidth="1"/>
  </cols>
  <sheetData>
    <row r="1" spans="1:39" s="209" customFormat="1" ht="32.85" customHeight="1">
      <c r="A1" s="210" t="e">
        <f ca="1" xml:space="preserve"> RIGHT(CELL("filename", A1), LEN(CELL("filename", A1)) - SEARCH("]", CELL("filename", A1)))</f>
        <v>#VALUE!</v>
      </c>
      <c r="B1" s="210"/>
      <c r="C1" s="210"/>
      <c r="D1" s="210"/>
      <c r="E1" s="210"/>
      <c r="F1" s="210"/>
      <c r="G1" s="210"/>
      <c r="H1" s="210"/>
      <c r="I1" s="210"/>
      <c r="J1" s="210"/>
      <c r="K1" s="210"/>
      <c r="L1" s="210"/>
      <c r="M1" s="210"/>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row>
    <row r="3" spans="1:39" s="14" customFormat="1" ht="18">
      <c r="A3" s="381" t="s">
        <v>357</v>
      </c>
      <c r="B3" s="381"/>
      <c r="C3" s="381"/>
      <c r="D3" s="381"/>
      <c r="E3" s="381"/>
      <c r="F3" s="381"/>
      <c r="G3" s="381"/>
      <c r="H3" s="381"/>
      <c r="I3" s="381"/>
      <c r="J3" s="381"/>
      <c r="K3" s="381"/>
      <c r="L3" s="381"/>
      <c r="M3" s="381"/>
      <c r="N3" s="381"/>
      <c r="O3" s="381"/>
      <c r="P3" s="381"/>
      <c r="Q3" s="381"/>
      <c r="R3" s="381"/>
      <c r="S3" s="381"/>
      <c r="T3" s="381"/>
      <c r="U3" s="381"/>
      <c r="V3" s="381"/>
    </row>
    <row r="5" spans="1:39" ht="14.25">
      <c r="B5" s="31" t="s">
        <v>358</v>
      </c>
      <c r="C5" s="1"/>
      <c r="D5" s="293"/>
      <c r="E5" s="293"/>
      <c r="F5" s="293"/>
      <c r="G5" s="293"/>
      <c r="H5" s="293"/>
      <c r="I5" s="293"/>
      <c r="J5" s="1"/>
      <c r="K5" s="31" t="s">
        <v>359</v>
      </c>
      <c r="L5" s="1"/>
      <c r="M5" s="1"/>
      <c r="N5" s="1"/>
      <c r="O5" s="1"/>
      <c r="P5" s="1"/>
      <c r="Q5" s="1"/>
      <c r="R5" s="1"/>
    </row>
    <row r="6" spans="1:39" s="128" customFormat="1" ht="58.9" customHeight="1">
      <c r="B6" s="79" t="s">
        <v>92</v>
      </c>
      <c r="C6" s="79" t="s">
        <v>337</v>
      </c>
      <c r="D6" s="21" t="s">
        <v>360</v>
      </c>
      <c r="E6" s="21" t="s">
        <v>361</v>
      </c>
      <c r="F6" s="21" t="s">
        <v>362</v>
      </c>
      <c r="G6" s="21" t="s">
        <v>363</v>
      </c>
      <c r="H6" s="292" t="s">
        <v>364</v>
      </c>
      <c r="I6" s="79" t="s">
        <v>89</v>
      </c>
      <c r="J6" s="263"/>
      <c r="K6" s="79" t="s">
        <v>92</v>
      </c>
      <c r="L6" s="79" t="s">
        <v>337</v>
      </c>
      <c r="M6" s="21" t="s">
        <v>360</v>
      </c>
      <c r="N6" s="21" t="s">
        <v>361</v>
      </c>
      <c r="O6" s="21" t="s">
        <v>362</v>
      </c>
      <c r="P6" s="21" t="s">
        <v>363</v>
      </c>
      <c r="Q6" s="21" t="s">
        <v>364</v>
      </c>
      <c r="R6" s="79" t="s">
        <v>89</v>
      </c>
    </row>
    <row r="7" spans="1:39" ht="13.15">
      <c r="B7" s="16" t="str">
        <f>Allowance!B10</f>
        <v>ANH</v>
      </c>
      <c r="C7" s="24">
        <f>_xlfn.XLOOKUP(B7,Allowance!$B$10:$B$26,Allowance!$C$10:$C$26)</f>
        <v>0</v>
      </c>
      <c r="D7" s="30">
        <f>_xlfn.XLOOKUP($B7,'F_Inputs BP'!$A$8:$A$24,'F_Inputs BP'!F$8:F$24)</f>
        <v>0</v>
      </c>
      <c r="E7" s="30">
        <f>_xlfn.XLOOKUP($B7,'F_Inputs BP'!$A$8:$A$24,'F_Inputs BP'!G$8:G$24)</f>
        <v>0</v>
      </c>
      <c r="F7" s="30">
        <f>_xlfn.XLOOKUP($B7,'F_Inputs BP'!$A$8:$A$24,'F_Inputs BP'!H$8:H$24)</f>
        <v>0</v>
      </c>
      <c r="G7" s="30">
        <f>_xlfn.XLOOKUP($B7,'F_Inputs BP'!$A$8:$A$24,'F_Inputs BP'!I$8:I$24)</f>
        <v>0</v>
      </c>
      <c r="H7" s="30">
        <f>_xlfn.XLOOKUP($B7,'F_Inputs BP'!$A$8:$A$24,'F_Inputs BP'!J$8:J$24)</f>
        <v>0</v>
      </c>
      <c r="I7" s="24">
        <f t="shared" ref="I7:I23" si="0">SUM(D7:H7)</f>
        <v>0</v>
      </c>
      <c r="J7" s="1"/>
      <c r="K7" s="16" t="str">
        <f t="shared" ref="K7:K24" si="1">B7</f>
        <v>ANH</v>
      </c>
      <c r="L7" s="24">
        <f>_xlfn.XLOOKUP($K7,Allowance!$B$10:$B$26,Allowance!$E$10:$E$26)</f>
        <v>746.14400000000012</v>
      </c>
      <c r="M7" s="30">
        <f>_xlfn.XLOOKUP($K7,'Final Input'!$A$4:$A$20,'Final Input'!F$4:F$20,0,0)</f>
        <v>169.29420000000002</v>
      </c>
      <c r="N7" s="30">
        <f>_xlfn.XLOOKUP($K7,'Final Input'!$A$4:$A$20,'Final Input'!G$4:G$20,0,0)</f>
        <v>170.90800000000002</v>
      </c>
      <c r="O7" s="30">
        <f>_xlfn.XLOOKUP($K7,'Final Input'!$A$4:$A$20,'Final Input'!H$4:H$20,0,0)</f>
        <v>203.59710000000001</v>
      </c>
      <c r="P7" s="30">
        <f>_xlfn.XLOOKUP($K7,'Final Input'!$A$4:$A$20,'Final Input'!I$4:I$20,0,0)</f>
        <v>151.65950000000004</v>
      </c>
      <c r="Q7" s="30">
        <f>_xlfn.XLOOKUP($K7,'Final Input'!$A$4:$A$20,'Final Input'!J$4:J$20,0,0)</f>
        <v>50.685200000000002</v>
      </c>
      <c r="R7" s="24">
        <f>SUM(M7:Q7)</f>
        <v>746.14400000000012</v>
      </c>
    </row>
    <row r="8" spans="1:39" ht="13.15">
      <c r="B8" s="16" t="str">
        <f>Allowance!B11</f>
        <v>WSH</v>
      </c>
      <c r="C8" s="24">
        <f>_xlfn.XLOOKUP(B8,Allowance!$B$10:$B$26,Allowance!$C$10:$C$26)</f>
        <v>0</v>
      </c>
      <c r="D8" s="30">
        <f>_xlfn.XLOOKUP($B8,'F_Inputs BP'!$A$8:$A$24,'F_Inputs BP'!F$8:F$24)</f>
        <v>0</v>
      </c>
      <c r="E8" s="30">
        <f>_xlfn.XLOOKUP($B8,'F_Inputs BP'!$A$8:$A$24,'F_Inputs BP'!G$8:G$24)</f>
        <v>0</v>
      </c>
      <c r="F8" s="30">
        <f>_xlfn.XLOOKUP($B8,'F_Inputs BP'!$A$8:$A$24,'F_Inputs BP'!H$8:H$24)</f>
        <v>0</v>
      </c>
      <c r="G8" s="30">
        <f>_xlfn.XLOOKUP($B8,'F_Inputs BP'!$A$8:$A$24,'F_Inputs BP'!I$8:I$24)</f>
        <v>0</v>
      </c>
      <c r="H8" s="30">
        <f>_xlfn.XLOOKUP($B8,'F_Inputs BP'!$A$8:$A$24,'F_Inputs BP'!J$8:J$24)</f>
        <v>0</v>
      </c>
      <c r="I8" s="24">
        <f t="shared" si="0"/>
        <v>0</v>
      </c>
      <c r="J8" s="1"/>
      <c r="K8" s="16" t="str">
        <f>B8</f>
        <v>WSH</v>
      </c>
      <c r="L8" s="24">
        <f>_xlfn.XLOOKUP($K8,Allowance!$B$10:$B$26,Allowance!$E$10:$E$26)</f>
        <v>0</v>
      </c>
      <c r="M8" s="30">
        <f>_xlfn.XLOOKUP($K8,'Final Input'!$A$4:$A$20,'Final Input'!F$4:F$20,0,0)</f>
        <v>0</v>
      </c>
      <c r="N8" s="30">
        <f>_xlfn.XLOOKUP($K8,'Final Input'!$A$4:$A$20,'Final Input'!G$4:G$20,0,0)</f>
        <v>0</v>
      </c>
      <c r="O8" s="30">
        <f>_xlfn.XLOOKUP($K8,'Final Input'!$A$4:$A$20,'Final Input'!H$4:H$20,0,0)</f>
        <v>0</v>
      </c>
      <c r="P8" s="30">
        <f>_xlfn.XLOOKUP($K8,'Final Input'!$A$4:$A$20,'Final Input'!I$4:I$20,0,0)</f>
        <v>0</v>
      </c>
      <c r="Q8" s="30">
        <f>_xlfn.XLOOKUP($K8,'Final Input'!$A$4:$A$20,'Final Input'!J$4:J$20,0,0)</f>
        <v>0</v>
      </c>
      <c r="R8" s="24">
        <f t="shared" ref="R8:R23" si="2">SUM(M8:Q8)</f>
        <v>0</v>
      </c>
    </row>
    <row r="9" spans="1:39" ht="13.15">
      <c r="B9" s="16" t="str">
        <f>Allowance!B12</f>
        <v>HDD</v>
      </c>
      <c r="C9" s="24">
        <f>_xlfn.XLOOKUP(B9,Allowance!$B$10:$B$26,Allowance!$C$10:$C$26)</f>
        <v>0</v>
      </c>
      <c r="D9" s="30">
        <f>_xlfn.XLOOKUP($B9,'F_Inputs BP'!$A$8:$A$24,'F_Inputs BP'!F$8:F$24)</f>
        <v>0</v>
      </c>
      <c r="E9" s="30">
        <f>_xlfn.XLOOKUP($B9,'F_Inputs BP'!$A$8:$A$24,'F_Inputs BP'!G$8:G$24)</f>
        <v>0</v>
      </c>
      <c r="F9" s="30">
        <f>_xlfn.XLOOKUP($B9,'F_Inputs BP'!$A$8:$A$24,'F_Inputs BP'!H$8:H$24)</f>
        <v>0</v>
      </c>
      <c r="G9" s="30">
        <f>_xlfn.XLOOKUP($B9,'F_Inputs BP'!$A$8:$A$24,'F_Inputs BP'!I$8:I$24)</f>
        <v>0</v>
      </c>
      <c r="H9" s="30">
        <f>_xlfn.XLOOKUP($B9,'F_Inputs BP'!$A$8:$A$24,'F_Inputs BP'!J$8:J$24)</f>
        <v>0</v>
      </c>
      <c r="I9" s="24">
        <f t="shared" si="0"/>
        <v>0</v>
      </c>
      <c r="J9" s="1"/>
      <c r="K9" s="16" t="str">
        <f t="shared" si="1"/>
        <v>HDD</v>
      </c>
      <c r="L9" s="24">
        <f>_xlfn.XLOOKUP($K9,Allowance!$B$10:$B$26,Allowance!$E$10:$E$26)</f>
        <v>0</v>
      </c>
      <c r="M9" s="30">
        <f>_xlfn.XLOOKUP($K9,'Final Input'!$A$4:$A$20,'Final Input'!F$4:F$20,0,0)</f>
        <v>0</v>
      </c>
      <c r="N9" s="30">
        <f>_xlfn.XLOOKUP($K9,'Final Input'!$A$4:$A$20,'Final Input'!G$4:G$20,0,0)</f>
        <v>0</v>
      </c>
      <c r="O9" s="30">
        <f>_xlfn.XLOOKUP($K9,'Final Input'!$A$4:$A$20,'Final Input'!H$4:H$20,0,0)</f>
        <v>0</v>
      </c>
      <c r="P9" s="30">
        <f>_xlfn.XLOOKUP($K9,'Final Input'!$A$4:$A$20,'Final Input'!I$4:I$20,0,0)</f>
        <v>0</v>
      </c>
      <c r="Q9" s="30">
        <f>_xlfn.XLOOKUP($K9,'Final Input'!$A$4:$A$20,'Final Input'!J$4:J$20,0,0)</f>
        <v>0</v>
      </c>
      <c r="R9" s="24">
        <f t="shared" si="2"/>
        <v>0</v>
      </c>
    </row>
    <row r="10" spans="1:39" ht="13.15">
      <c r="B10" s="16" t="str">
        <f>Allowance!B13</f>
        <v>NES</v>
      </c>
      <c r="C10" s="24">
        <f>_xlfn.XLOOKUP(B10,Allowance!$B$10:$B$26,Allowance!$C$10:$C$26)</f>
        <v>2.8899999999999997</v>
      </c>
      <c r="D10" s="30">
        <f>_xlfn.XLOOKUP($B10,'F_Inputs BP'!$A$8:$A$24,'F_Inputs BP'!F$8:F$24)</f>
        <v>0.56999999999999995</v>
      </c>
      <c r="E10" s="30">
        <f>_xlfn.XLOOKUP($B10,'F_Inputs BP'!$A$8:$A$24,'F_Inputs BP'!G$8:G$24)</f>
        <v>0.75</v>
      </c>
      <c r="F10" s="30">
        <f>_xlfn.XLOOKUP($B10,'F_Inputs BP'!$A$8:$A$24,'F_Inputs BP'!H$8:H$24)</f>
        <v>0.47</v>
      </c>
      <c r="G10" s="30">
        <f>_xlfn.XLOOKUP($B10,'F_Inputs BP'!$A$8:$A$24,'F_Inputs BP'!I$8:I$24)</f>
        <v>0.51</v>
      </c>
      <c r="H10" s="30">
        <f>_xlfn.XLOOKUP($B10,'F_Inputs BP'!$A$8:$A$24,'F_Inputs BP'!J$8:J$24)</f>
        <v>0.59</v>
      </c>
      <c r="I10" s="24">
        <f t="shared" si="0"/>
        <v>2.8899999999999997</v>
      </c>
      <c r="J10" s="1"/>
      <c r="K10" s="16" t="str">
        <f t="shared" si="1"/>
        <v>NES</v>
      </c>
      <c r="L10" s="24">
        <f>_xlfn.XLOOKUP($K10,Allowance!$B$10:$B$26,Allowance!$E$10:$E$26)</f>
        <v>8.1259999999999994</v>
      </c>
      <c r="M10" s="30">
        <f>_xlfn.XLOOKUP($K10,'Final Input'!$A$4:$A$20,'Final Input'!F$4:F$20,0,0)</f>
        <v>0.56999999999999995</v>
      </c>
      <c r="N10" s="30">
        <f>_xlfn.XLOOKUP($K10,'Final Input'!$A$4:$A$20,'Final Input'!G$4:G$20,0,0)</f>
        <v>5.9859999999999998</v>
      </c>
      <c r="O10" s="30">
        <f>_xlfn.XLOOKUP($K10,'Final Input'!$A$4:$A$20,'Final Input'!H$4:H$20,0,0)</f>
        <v>0.47</v>
      </c>
      <c r="P10" s="30">
        <f>_xlfn.XLOOKUP($K10,'Final Input'!$A$4:$A$20,'Final Input'!I$4:I$20,0,0)</f>
        <v>0.51</v>
      </c>
      <c r="Q10" s="30">
        <f>_xlfn.XLOOKUP($K10,'Final Input'!$A$4:$A$20,'Final Input'!J$4:J$20,0,0)</f>
        <v>0.59</v>
      </c>
      <c r="R10" s="24">
        <f t="shared" si="2"/>
        <v>8.1259999999999994</v>
      </c>
    </row>
    <row r="11" spans="1:39" ht="13.15">
      <c r="B11" s="16" t="str">
        <f>Allowance!B14</f>
        <v>SVE</v>
      </c>
      <c r="C11" s="24">
        <f>_xlfn.XLOOKUP(B11,Allowance!$B$10:$B$26,Allowance!$C$10:$C$26)</f>
        <v>0</v>
      </c>
      <c r="D11" s="30">
        <f>_xlfn.XLOOKUP($B11,'F_Inputs BP'!$A$8:$A$24,'F_Inputs BP'!F$8:F$24)</f>
        <v>0</v>
      </c>
      <c r="E11" s="30">
        <f>_xlfn.XLOOKUP($B11,'F_Inputs BP'!$A$8:$A$24,'F_Inputs BP'!G$8:G$24)</f>
        <v>0</v>
      </c>
      <c r="F11" s="30">
        <f>_xlfn.XLOOKUP($B11,'F_Inputs BP'!$A$8:$A$24,'F_Inputs BP'!H$8:H$24)</f>
        <v>0</v>
      </c>
      <c r="G11" s="30">
        <f>_xlfn.XLOOKUP($B11,'F_Inputs BP'!$A$8:$A$24,'F_Inputs BP'!I$8:I$24)</f>
        <v>0</v>
      </c>
      <c r="H11" s="30">
        <f>_xlfn.XLOOKUP($B11,'F_Inputs BP'!$A$8:$A$24,'F_Inputs BP'!J$8:J$24)</f>
        <v>0</v>
      </c>
      <c r="I11" s="24">
        <f t="shared" si="0"/>
        <v>0</v>
      </c>
      <c r="J11" s="1"/>
      <c r="K11" s="16" t="str">
        <f t="shared" si="1"/>
        <v>SVE</v>
      </c>
      <c r="L11" s="24">
        <f>_xlfn.XLOOKUP($K11,Allowance!$B$10:$B$26,Allowance!$E$10:$E$26)</f>
        <v>45.955999999999996</v>
      </c>
      <c r="M11" s="30">
        <f>_xlfn.XLOOKUP($K11,'Final Input'!$A$4:$A$20,'Final Input'!F$4:F$20,0,0)</f>
        <v>12.355999999999998</v>
      </c>
      <c r="N11" s="30">
        <f>_xlfn.XLOOKUP($K11,'Final Input'!$A$4:$A$20,'Final Input'!G$4:G$20,0,0)</f>
        <v>16.242999999999999</v>
      </c>
      <c r="O11" s="30">
        <f>_xlfn.XLOOKUP($K11,'Final Input'!$A$4:$A$20,'Final Input'!H$4:H$20,0,0)</f>
        <v>8.2809999999999988</v>
      </c>
      <c r="P11" s="30">
        <f>_xlfn.XLOOKUP($K11,'Final Input'!$A$4:$A$20,'Final Input'!I$4:I$20,0,0)</f>
        <v>5.7089999999999996</v>
      </c>
      <c r="Q11" s="30">
        <f>_xlfn.XLOOKUP($K11,'Final Input'!$A$4:$A$20,'Final Input'!J$4:J$20,0,0)</f>
        <v>3.367</v>
      </c>
      <c r="R11" s="24">
        <f t="shared" si="2"/>
        <v>45.955999999999996</v>
      </c>
    </row>
    <row r="12" spans="1:39" ht="13.15">
      <c r="B12" s="16" t="str">
        <f>Allowance!B15</f>
        <v>SBB</v>
      </c>
      <c r="C12" s="24">
        <f>_xlfn.XLOOKUP(B12,Allowance!$B$10:$B$26,Allowance!$C$10:$C$26)</f>
        <v>0</v>
      </c>
      <c r="D12" s="30">
        <f>_xlfn.XLOOKUP($B12,'F_Inputs BP'!$A$8:$A$24,'F_Inputs BP'!F$8:F$24)</f>
        <v>0</v>
      </c>
      <c r="E12" s="30">
        <f>_xlfn.XLOOKUP($B12,'F_Inputs BP'!$A$8:$A$24,'F_Inputs BP'!G$8:G$24)</f>
        <v>0</v>
      </c>
      <c r="F12" s="30">
        <f>_xlfn.XLOOKUP($B12,'F_Inputs BP'!$A$8:$A$24,'F_Inputs BP'!H$8:H$24)</f>
        <v>0</v>
      </c>
      <c r="G12" s="30">
        <f>_xlfn.XLOOKUP($B12,'F_Inputs BP'!$A$8:$A$24,'F_Inputs BP'!I$8:I$24)</f>
        <v>0</v>
      </c>
      <c r="H12" s="30">
        <f>_xlfn.XLOOKUP($B12,'F_Inputs BP'!$A$8:$A$24,'F_Inputs BP'!J$8:J$24)</f>
        <v>0</v>
      </c>
      <c r="I12" s="24">
        <f t="shared" si="0"/>
        <v>0</v>
      </c>
      <c r="J12" s="1"/>
      <c r="K12" s="16" t="str">
        <f t="shared" si="1"/>
        <v>SBB</v>
      </c>
      <c r="L12" s="24">
        <f>_xlfn.XLOOKUP($K12,Allowance!$B$10:$B$26,Allowance!$E$10:$E$26)</f>
        <v>70.894000000000005</v>
      </c>
      <c r="M12" s="30">
        <f>_xlfn.XLOOKUP($K12,'Final Input'!$A$4:$A$20,'Final Input'!F$4:F$20,0,0)</f>
        <v>13.3316</v>
      </c>
      <c r="N12" s="30">
        <f>_xlfn.XLOOKUP($K12,'Final Input'!$A$4:$A$20,'Final Input'!G$4:G$20,0,0)</f>
        <v>13.2376</v>
      </c>
      <c r="O12" s="30">
        <f>_xlfn.XLOOKUP($K12,'Final Input'!$A$4:$A$20,'Final Input'!H$4:H$20,0,0)</f>
        <v>14.566599999999999</v>
      </c>
      <c r="P12" s="30">
        <f>_xlfn.XLOOKUP($K12,'Final Input'!$A$4:$A$20,'Final Input'!I$4:I$20,0,0)</f>
        <v>16.869599999999998</v>
      </c>
      <c r="Q12" s="30">
        <f>_xlfn.XLOOKUP($K12,'Final Input'!$A$4:$A$20,'Final Input'!J$4:J$20,0,0)</f>
        <v>12.8886</v>
      </c>
      <c r="R12" s="24">
        <f t="shared" si="2"/>
        <v>70.894000000000005</v>
      </c>
    </row>
    <row r="13" spans="1:39" ht="13.15">
      <c r="B13" s="16" t="str">
        <f>Allowance!B16</f>
        <v>SRN</v>
      </c>
      <c r="C13" s="24">
        <f>_xlfn.XLOOKUP(B13,Allowance!$B$10:$B$26,Allowance!$C$10:$C$26)</f>
        <v>320.88200000000001</v>
      </c>
      <c r="D13" s="30">
        <f>_xlfn.XLOOKUP($B13,'F_Inputs BP'!$A$8:$A$24,'F_Inputs BP'!F$8:F$24)</f>
        <v>61.765000000000001</v>
      </c>
      <c r="E13" s="30">
        <f>_xlfn.XLOOKUP($B13,'F_Inputs BP'!$A$8:$A$24,'F_Inputs BP'!G$8:G$24)</f>
        <v>89.454000000000008</v>
      </c>
      <c r="F13" s="30">
        <f>_xlfn.XLOOKUP($B13,'F_Inputs BP'!$A$8:$A$24,'F_Inputs BP'!H$8:H$24)</f>
        <v>85.296999999999997</v>
      </c>
      <c r="G13" s="30">
        <f>_xlfn.XLOOKUP($B13,'F_Inputs BP'!$A$8:$A$24,'F_Inputs BP'!I$8:I$24)</f>
        <v>45.665999999999997</v>
      </c>
      <c r="H13" s="30">
        <f>_xlfn.XLOOKUP($B13,'F_Inputs BP'!$A$8:$A$24,'F_Inputs BP'!J$8:J$24)</f>
        <v>38.700000000000003</v>
      </c>
      <c r="I13" s="24">
        <f t="shared" si="0"/>
        <v>320.88200000000001</v>
      </c>
      <c r="J13" s="1"/>
      <c r="K13" s="16" t="str">
        <f t="shared" si="1"/>
        <v>SRN</v>
      </c>
      <c r="L13" s="24">
        <f>_xlfn.XLOOKUP($K13,Allowance!$B$10:$B$26,Allowance!$E$10:$E$26)</f>
        <v>352.173</v>
      </c>
      <c r="M13" s="30">
        <f>_xlfn.XLOOKUP($K13,'Final Input'!$A$4:$A$20,'Final Input'!F$4:F$20,0,0)</f>
        <v>93.056000000000012</v>
      </c>
      <c r="N13" s="30">
        <f>_xlfn.XLOOKUP($K13,'Final Input'!$A$4:$A$20,'Final Input'!G$4:G$20,0,0)</f>
        <v>89.454000000000008</v>
      </c>
      <c r="O13" s="30">
        <f>_xlfn.XLOOKUP($K13,'Final Input'!$A$4:$A$20,'Final Input'!H$4:H$20,0,0)</f>
        <v>85.296999999999997</v>
      </c>
      <c r="P13" s="30">
        <f>_xlfn.XLOOKUP($K13,'Final Input'!$A$4:$A$20,'Final Input'!I$4:I$20,0,0)</f>
        <v>45.665999999999997</v>
      </c>
      <c r="Q13" s="30">
        <f>_xlfn.XLOOKUP($K13,'Final Input'!$A$4:$A$20,'Final Input'!J$4:J$20,0,0)</f>
        <v>38.700000000000003</v>
      </c>
      <c r="R13" s="24">
        <f t="shared" si="2"/>
        <v>352.173</v>
      </c>
    </row>
    <row r="14" spans="1:39" ht="13.15">
      <c r="B14" s="16" t="str">
        <f>Allowance!B17</f>
        <v>TMS</v>
      </c>
      <c r="C14" s="24">
        <f>_xlfn.XLOOKUP(B14,Allowance!$B$10:$B$26,Allowance!$C$10:$C$26)</f>
        <v>0</v>
      </c>
      <c r="D14" s="30">
        <f>_xlfn.XLOOKUP($B14,'F_Inputs BP'!$A$8:$A$24,'F_Inputs BP'!F$8:F$24)</f>
        <v>0</v>
      </c>
      <c r="E14" s="30">
        <f>_xlfn.XLOOKUP($B14,'F_Inputs BP'!$A$8:$A$24,'F_Inputs BP'!G$8:G$24)</f>
        <v>0</v>
      </c>
      <c r="F14" s="30">
        <f>_xlfn.XLOOKUP($B14,'F_Inputs BP'!$A$8:$A$24,'F_Inputs BP'!H$8:H$24)</f>
        <v>0</v>
      </c>
      <c r="G14" s="30">
        <f>_xlfn.XLOOKUP($B14,'F_Inputs BP'!$A$8:$A$24,'F_Inputs BP'!I$8:I$24)</f>
        <v>0</v>
      </c>
      <c r="H14" s="30">
        <f>_xlfn.XLOOKUP($B14,'F_Inputs BP'!$A$8:$A$24,'F_Inputs BP'!J$8:J$24)</f>
        <v>0</v>
      </c>
      <c r="I14" s="24">
        <f t="shared" si="0"/>
        <v>0</v>
      </c>
      <c r="J14" s="1"/>
      <c r="K14" s="16" t="str">
        <f t="shared" si="1"/>
        <v>TMS</v>
      </c>
      <c r="L14" s="24">
        <f>_xlfn.XLOOKUP($K14,Allowance!$B$10:$B$26,Allowance!$E$10:$E$26)</f>
        <v>856.26365412422842</v>
      </c>
      <c r="M14" s="30">
        <f>_xlfn.XLOOKUP($K14,'Final Input'!$A$4:$A$20,'Final Input'!F$4:F$20,0,0)</f>
        <v>80.763448211687461</v>
      </c>
      <c r="N14" s="30">
        <f>_xlfn.XLOOKUP($K14,'Final Input'!$A$4:$A$20,'Final Input'!G$4:G$20,0,0)</f>
        <v>83.791205912541017</v>
      </c>
      <c r="O14" s="30">
        <f>_xlfn.XLOOKUP($K14,'Final Input'!$A$4:$A$20,'Final Input'!H$4:H$20,0,0)</f>
        <v>92.430999999999997</v>
      </c>
      <c r="P14" s="30">
        <f>_xlfn.XLOOKUP($K14,'Final Input'!$A$4:$A$20,'Final Input'!I$4:I$20,0,0)</f>
        <v>130.10900000000001</v>
      </c>
      <c r="Q14" s="30">
        <f>_xlfn.XLOOKUP($K14,'Final Input'!$A$4:$A$20,'Final Input'!J$4:J$20,0,0)</f>
        <v>469.16899999999998</v>
      </c>
      <c r="R14" s="24">
        <f t="shared" si="2"/>
        <v>856.26365412422842</v>
      </c>
    </row>
    <row r="15" spans="1:39" ht="13.15">
      <c r="B15" s="16" t="str">
        <f>Allowance!B18</f>
        <v>NWT</v>
      </c>
      <c r="C15" s="24">
        <f>_xlfn.XLOOKUP(B15,Allowance!$B$10:$B$26,Allowance!$C$10:$C$26)</f>
        <v>0</v>
      </c>
      <c r="D15" s="30">
        <f>_xlfn.XLOOKUP($B15,'F_Inputs BP'!$A$8:$A$24,'F_Inputs BP'!F$8:F$24)</f>
        <v>0</v>
      </c>
      <c r="E15" s="30">
        <f>_xlfn.XLOOKUP($B15,'F_Inputs BP'!$A$8:$A$24,'F_Inputs BP'!G$8:G$24)</f>
        <v>0</v>
      </c>
      <c r="F15" s="30">
        <f>_xlfn.XLOOKUP($B15,'F_Inputs BP'!$A$8:$A$24,'F_Inputs BP'!H$8:H$24)</f>
        <v>0</v>
      </c>
      <c r="G15" s="30">
        <f>_xlfn.XLOOKUP($B15,'F_Inputs BP'!$A$8:$A$24,'F_Inputs BP'!I$8:I$24)</f>
        <v>0</v>
      </c>
      <c r="H15" s="30">
        <f>_xlfn.XLOOKUP($B15,'F_Inputs BP'!$A$8:$A$24,'F_Inputs BP'!J$8:J$24)</f>
        <v>0</v>
      </c>
      <c r="I15" s="24">
        <f t="shared" si="0"/>
        <v>0</v>
      </c>
      <c r="J15" s="1"/>
      <c r="K15" s="16" t="str">
        <f t="shared" si="1"/>
        <v>NWT</v>
      </c>
      <c r="L15" s="24">
        <f>_xlfn.XLOOKUP($K15,Allowance!$B$10:$B$26,Allowance!$E$10:$E$26)</f>
        <v>41.308101895097998</v>
      </c>
      <c r="M15" s="30">
        <f>_xlfn.XLOOKUP($K15,'Final Input'!$A$4:$A$20,'Final Input'!F$4:F$20,0,0)</f>
        <v>9.5784231660000003</v>
      </c>
      <c r="N15" s="30">
        <f>_xlfn.XLOOKUP($K15,'Final Input'!$A$4:$A$20,'Final Input'!G$4:G$20,0,0)</f>
        <v>8.4981134735000001</v>
      </c>
      <c r="O15" s="30">
        <f>_xlfn.XLOOKUP($K15,'Final Input'!$A$4:$A$20,'Final Input'!H$4:H$20,0,0)</f>
        <v>7.5708726617900002</v>
      </c>
      <c r="P15" s="30">
        <f>_xlfn.XLOOKUP($K15,'Final Input'!$A$4:$A$20,'Final Input'!I$4:I$20,0,0)</f>
        <v>7.087231251505</v>
      </c>
      <c r="Q15" s="30">
        <f>_xlfn.XLOOKUP($K15,'Final Input'!$A$4:$A$20,'Final Input'!J$4:J$20,0,0)</f>
        <v>8.5734613423030002</v>
      </c>
      <c r="R15" s="24">
        <f t="shared" si="2"/>
        <v>41.308101895097998</v>
      </c>
    </row>
    <row r="16" spans="1:39" ht="13.15">
      <c r="B16" s="16" t="str">
        <f>Allowance!B19</f>
        <v>WSX</v>
      </c>
      <c r="C16" s="24">
        <f>_xlfn.XLOOKUP(B16,Allowance!$B$10:$B$26,Allowance!$C$10:$C$26)</f>
        <v>72.278000000000006</v>
      </c>
      <c r="D16" s="30">
        <f>_xlfn.XLOOKUP($B16,'F_Inputs BP'!$A$8:$A$24,'F_Inputs BP'!F$8:F$24)</f>
        <v>12.24</v>
      </c>
      <c r="E16" s="30">
        <f>_xlfn.XLOOKUP($B16,'F_Inputs BP'!$A$8:$A$24,'F_Inputs BP'!G$8:G$24)</f>
        <v>10.832000000000001</v>
      </c>
      <c r="F16" s="30">
        <f>_xlfn.XLOOKUP($B16,'F_Inputs BP'!$A$8:$A$24,'F_Inputs BP'!H$8:H$24)</f>
        <v>17.262</v>
      </c>
      <c r="G16" s="30">
        <f>_xlfn.XLOOKUP($B16,'F_Inputs BP'!$A$8:$A$24,'F_Inputs BP'!I$8:I$24)</f>
        <v>17.911000000000001</v>
      </c>
      <c r="H16" s="30">
        <f>_xlfn.XLOOKUP($B16,'F_Inputs BP'!$A$8:$A$24,'F_Inputs BP'!J$8:J$24)</f>
        <v>14.032999999999999</v>
      </c>
      <c r="I16" s="24">
        <f t="shared" si="0"/>
        <v>72.278000000000006</v>
      </c>
      <c r="J16" s="1"/>
      <c r="K16" s="16" t="str">
        <f t="shared" si="1"/>
        <v>WSX</v>
      </c>
      <c r="L16" s="24">
        <f>_xlfn.XLOOKUP($K16,Allowance!$B$10:$B$26,Allowance!$E$10:$E$26)</f>
        <v>72.279200000000003</v>
      </c>
      <c r="M16" s="30">
        <f>_xlfn.XLOOKUP($K16,'Final Input'!$A$4:$A$20,'Final Input'!F$4:F$20,0,0)</f>
        <v>12.145180000000002</v>
      </c>
      <c r="N16" s="30">
        <f>_xlfn.XLOOKUP($K16,'Final Input'!$A$4:$A$20,'Final Input'!G$4:G$20,0,0)</f>
        <v>10.787710000000001</v>
      </c>
      <c r="O16" s="30">
        <f>_xlfn.XLOOKUP($K16,'Final Input'!$A$4:$A$20,'Final Input'!H$4:H$20,0,0)</f>
        <v>17.218240000000002</v>
      </c>
      <c r="P16" s="30">
        <f>_xlfn.XLOOKUP($K16,'Final Input'!$A$4:$A$20,'Final Input'!I$4:I$20,0,0)</f>
        <v>17.987770000000001</v>
      </c>
      <c r="Q16" s="30">
        <f>_xlfn.XLOOKUP($K16,'Final Input'!$A$4:$A$20,'Final Input'!J$4:J$20,0,0)</f>
        <v>14.1403</v>
      </c>
      <c r="R16" s="24">
        <f t="shared" si="2"/>
        <v>72.279200000000003</v>
      </c>
    </row>
    <row r="17" spans="1:31" ht="13.15">
      <c r="B17" s="16" t="str">
        <f>Allowance!B20</f>
        <v>YKY</v>
      </c>
      <c r="C17" s="24">
        <f>_xlfn.XLOOKUP(B17,Allowance!$B$10:$B$26,Allowance!$C$10:$C$26)</f>
        <v>35.432396800000006</v>
      </c>
      <c r="D17" s="30">
        <f>_xlfn.XLOOKUP($B17,'F_Inputs BP'!$A$8:$A$24,'F_Inputs BP'!F$8:F$24)</f>
        <v>3.6001280000000011</v>
      </c>
      <c r="E17" s="30">
        <f>_xlfn.XLOOKUP($B17,'F_Inputs BP'!$A$8:$A$24,'F_Inputs BP'!G$8:G$24)</f>
        <v>5.6195584000000007</v>
      </c>
      <c r="F17" s="30">
        <f>_xlfn.XLOOKUP($B17,'F_Inputs BP'!$A$8:$A$24,'F_Inputs BP'!H$8:H$24)</f>
        <v>6.6072320000000007</v>
      </c>
      <c r="G17" s="30">
        <f>_xlfn.XLOOKUP($B17,'F_Inputs BP'!$A$8:$A$24,'F_Inputs BP'!I$8:I$24)</f>
        <v>9.9250176000000003</v>
      </c>
      <c r="H17" s="30">
        <f>_xlfn.XLOOKUP($B17,'F_Inputs BP'!$A$8:$A$24,'F_Inputs BP'!J$8:J$24)</f>
        <v>9.6804608000000023</v>
      </c>
      <c r="I17" s="24">
        <f t="shared" si="0"/>
        <v>35.432396800000006</v>
      </c>
      <c r="J17" s="1"/>
      <c r="K17" s="16" t="str">
        <f t="shared" si="1"/>
        <v>YKY</v>
      </c>
      <c r="L17" s="24">
        <f>_xlfn.XLOOKUP($K17,Allowance!$B$10:$B$26,Allowance!$E$10:$E$26)</f>
        <v>35.432000000000002</v>
      </c>
      <c r="M17" s="30">
        <f>_xlfn.XLOOKUP($K17,'Final Input'!$A$4:$A$20,'Final Input'!F$4:F$20,0,0)</f>
        <v>3.5999999999999996</v>
      </c>
      <c r="N17" s="30">
        <f>_xlfn.XLOOKUP($K17,'Final Input'!$A$4:$A$20,'Final Input'!G$4:G$20,0,0)</f>
        <v>5.62</v>
      </c>
      <c r="O17" s="30">
        <f>_xlfn.XLOOKUP($K17,'Final Input'!$A$4:$A$20,'Final Input'!H$4:H$20,0,0)</f>
        <v>6.6070000000000011</v>
      </c>
      <c r="P17" s="30">
        <f>_xlfn.XLOOKUP($K17,'Final Input'!$A$4:$A$20,'Final Input'!I$4:I$20,0,0)</f>
        <v>9.9250000000000007</v>
      </c>
      <c r="Q17" s="30">
        <f>_xlfn.XLOOKUP($K17,'Final Input'!$A$4:$A$20,'Final Input'!J$4:J$20,0,0)</f>
        <v>9.6800000000000015</v>
      </c>
      <c r="R17" s="24">
        <f t="shared" si="2"/>
        <v>35.432000000000002</v>
      </c>
    </row>
    <row r="18" spans="1:31" ht="13.15">
      <c r="B18" s="16" t="str">
        <f>Allowance!B21</f>
        <v>AFW</v>
      </c>
      <c r="C18" s="24">
        <f>_xlfn.XLOOKUP(B18,Allowance!$B$10:$B$26,Allowance!$C$10:$C$26)</f>
        <v>73.856999999999999</v>
      </c>
      <c r="D18" s="30">
        <f>_xlfn.XLOOKUP($B18,'F_Inputs BP'!$A$8:$A$24,'F_Inputs BP'!F$8:F$24)</f>
        <v>18.335000000000001</v>
      </c>
      <c r="E18" s="30">
        <f>_xlfn.XLOOKUP($B18,'F_Inputs BP'!$A$8:$A$24,'F_Inputs BP'!G$8:G$24)</f>
        <v>18.786999999999999</v>
      </c>
      <c r="F18" s="30">
        <f>_xlfn.XLOOKUP($B18,'F_Inputs BP'!$A$8:$A$24,'F_Inputs BP'!H$8:H$24)</f>
        <v>19.172999999999998</v>
      </c>
      <c r="G18" s="30">
        <f>_xlfn.XLOOKUP($B18,'F_Inputs BP'!$A$8:$A$24,'F_Inputs BP'!I$8:I$24)</f>
        <v>11.356</v>
      </c>
      <c r="H18" s="30">
        <f>_xlfn.XLOOKUP($B18,'F_Inputs BP'!$A$8:$A$24,'F_Inputs BP'!J$8:J$24)</f>
        <v>6.2060000000000004</v>
      </c>
      <c r="I18" s="24">
        <f t="shared" si="0"/>
        <v>73.856999999999999</v>
      </c>
      <c r="J18" s="1"/>
      <c r="K18" s="16" t="str">
        <f t="shared" si="1"/>
        <v>AFW</v>
      </c>
      <c r="L18" s="24">
        <f>_xlfn.XLOOKUP($K18,Allowance!$B$10:$B$26,Allowance!$E$10:$E$26)</f>
        <v>72.38000000000001</v>
      </c>
      <c r="M18" s="30">
        <f>_xlfn.XLOOKUP($K18,'Final Input'!$A$4:$A$20,'Final Input'!F$4:F$20,0,0)</f>
        <v>15.876999999999999</v>
      </c>
      <c r="N18" s="30">
        <f>_xlfn.XLOOKUP($K18,'Final Input'!$A$4:$A$20,'Final Input'!G$4:G$20,0,0)</f>
        <v>22.305</v>
      </c>
      <c r="O18" s="30">
        <f>_xlfn.XLOOKUP($K18,'Final Input'!$A$4:$A$20,'Final Input'!H$4:H$20,0,0)</f>
        <v>15.747</v>
      </c>
      <c r="P18" s="30">
        <f>_xlfn.XLOOKUP($K18,'Final Input'!$A$4:$A$20,'Final Input'!I$4:I$20,0,0)</f>
        <v>13.186</v>
      </c>
      <c r="Q18" s="30">
        <f>_xlfn.XLOOKUP($K18,'Final Input'!$A$4:$A$20,'Final Input'!J$4:J$20,0,0)</f>
        <v>5.2650000000000006</v>
      </c>
      <c r="R18" s="24">
        <f t="shared" si="2"/>
        <v>72.38000000000001</v>
      </c>
    </row>
    <row r="19" spans="1:31" ht="13.15">
      <c r="B19" s="16" t="str">
        <f>Allowance!B22</f>
        <v>BRL</v>
      </c>
      <c r="C19" s="24">
        <f>_xlfn.XLOOKUP(B19,Allowance!$B$10:$B$26,Allowance!$C$10:$C$26)</f>
        <v>0</v>
      </c>
      <c r="D19" s="30">
        <f>_xlfn.XLOOKUP($B19,'F_Inputs BP'!$A$8:$A$24,'F_Inputs BP'!F$8:F$24)</f>
        <v>0</v>
      </c>
      <c r="E19" s="30">
        <f>_xlfn.XLOOKUP($B19,'F_Inputs BP'!$A$8:$A$24,'F_Inputs BP'!G$8:G$24)</f>
        <v>0</v>
      </c>
      <c r="F19" s="30">
        <f>_xlfn.XLOOKUP($B19,'F_Inputs BP'!$A$8:$A$24,'F_Inputs BP'!H$8:H$24)</f>
        <v>0</v>
      </c>
      <c r="G19" s="30">
        <f>_xlfn.XLOOKUP($B19,'F_Inputs BP'!$A$8:$A$24,'F_Inputs BP'!I$8:I$24)</f>
        <v>0</v>
      </c>
      <c r="H19" s="30">
        <f>_xlfn.XLOOKUP($B19,'F_Inputs BP'!$A$8:$A$24,'F_Inputs BP'!J$8:J$24)</f>
        <v>0</v>
      </c>
      <c r="I19" s="24">
        <f t="shared" si="0"/>
        <v>0</v>
      </c>
      <c r="J19" s="1"/>
      <c r="K19" s="16" t="str">
        <f t="shared" si="1"/>
        <v>BRL</v>
      </c>
      <c r="L19" s="24">
        <f>_xlfn.XLOOKUP($K19,Allowance!$B$10:$B$26,Allowance!$E$10:$E$26)</f>
        <v>0</v>
      </c>
      <c r="M19" s="30">
        <f>_xlfn.XLOOKUP($K19,'Final Input'!$A$4:$A$20,'Final Input'!F$4:F$20,0,0)</f>
        <v>0</v>
      </c>
      <c r="N19" s="30">
        <f>_xlfn.XLOOKUP($K19,'Final Input'!$A$4:$A$20,'Final Input'!G$4:G$20,0,0)</f>
        <v>0</v>
      </c>
      <c r="O19" s="30">
        <f>_xlfn.XLOOKUP($K19,'Final Input'!$A$4:$A$20,'Final Input'!H$4:H$20,0,0)</f>
        <v>0</v>
      </c>
      <c r="P19" s="30">
        <f>_xlfn.XLOOKUP($K19,'Final Input'!$A$4:$A$20,'Final Input'!I$4:I$20,0,0)</f>
        <v>0</v>
      </c>
      <c r="Q19" s="30">
        <f>_xlfn.XLOOKUP($K19,'Final Input'!$A$4:$A$20,'Final Input'!J$4:J$20,0,0)</f>
        <v>0</v>
      </c>
      <c r="R19" s="24">
        <f t="shared" si="2"/>
        <v>0</v>
      </c>
    </row>
    <row r="20" spans="1:31" ht="13.15">
      <c r="B20" s="16" t="str">
        <f>Allowance!B23</f>
        <v>PRT</v>
      </c>
      <c r="C20" s="24">
        <f>_xlfn.XLOOKUP(B20,Allowance!$B$10:$B$26,Allowance!$C$10:$C$26)</f>
        <v>0</v>
      </c>
      <c r="D20" s="30">
        <f>_xlfn.XLOOKUP($B20,'F_Inputs BP'!$A$8:$A$24,'F_Inputs BP'!F$8:F$24)</f>
        <v>0</v>
      </c>
      <c r="E20" s="30">
        <f>_xlfn.XLOOKUP($B20,'F_Inputs BP'!$A$8:$A$24,'F_Inputs BP'!G$8:G$24)</f>
        <v>0</v>
      </c>
      <c r="F20" s="30">
        <f>_xlfn.XLOOKUP($B20,'F_Inputs BP'!$A$8:$A$24,'F_Inputs BP'!H$8:H$24)</f>
        <v>0</v>
      </c>
      <c r="G20" s="30">
        <f>_xlfn.XLOOKUP($B20,'F_Inputs BP'!$A$8:$A$24,'F_Inputs BP'!I$8:I$24)</f>
        <v>0</v>
      </c>
      <c r="H20" s="30">
        <f>_xlfn.XLOOKUP($B20,'F_Inputs BP'!$A$8:$A$24,'F_Inputs BP'!J$8:J$24)</f>
        <v>0</v>
      </c>
      <c r="I20" s="24">
        <f t="shared" si="0"/>
        <v>0</v>
      </c>
      <c r="J20" s="1"/>
      <c r="K20" s="16" t="str">
        <f t="shared" si="1"/>
        <v>PRT</v>
      </c>
      <c r="L20" s="24">
        <f>_xlfn.XLOOKUP($K20,Allowance!$B$10:$B$26,Allowance!$E$10:$E$26)</f>
        <v>0</v>
      </c>
      <c r="M20" s="30">
        <f>_xlfn.XLOOKUP($K20,'Final Input'!$A$4:$A$20,'Final Input'!F$4:F$20,0,0)</f>
        <v>0</v>
      </c>
      <c r="N20" s="30">
        <f>_xlfn.XLOOKUP($K20,'Final Input'!$A$4:$A$20,'Final Input'!G$4:G$20,0,0)</f>
        <v>0</v>
      </c>
      <c r="O20" s="30">
        <f>_xlfn.XLOOKUP($K20,'Final Input'!$A$4:$A$20,'Final Input'!H$4:H$20,0,0)</f>
        <v>0</v>
      </c>
      <c r="P20" s="30">
        <f>_xlfn.XLOOKUP($K20,'Final Input'!$A$4:$A$20,'Final Input'!I$4:I$20,0,0)</f>
        <v>0</v>
      </c>
      <c r="Q20" s="30">
        <f>_xlfn.XLOOKUP($K20,'Final Input'!$A$4:$A$20,'Final Input'!J$4:J$20,0,0)</f>
        <v>0</v>
      </c>
      <c r="R20" s="24">
        <f t="shared" si="2"/>
        <v>0</v>
      </c>
    </row>
    <row r="21" spans="1:31" ht="13.15">
      <c r="B21" s="16" t="str">
        <f>Allowance!B24</f>
        <v>SEW</v>
      </c>
      <c r="C21" s="24">
        <f>_xlfn.XLOOKUP(B21,Allowance!$B$10:$B$26,Allowance!$C$10:$C$26)</f>
        <v>60.589829000000009</v>
      </c>
      <c r="D21" s="30">
        <f>_xlfn.XLOOKUP($B21,'F_Inputs BP'!$A$8:$A$24,'F_Inputs BP'!F$8:F$24)</f>
        <v>12.357692999999999</v>
      </c>
      <c r="E21" s="30">
        <f>_xlfn.XLOOKUP($B21,'F_Inputs BP'!$A$8:$A$24,'F_Inputs BP'!G$8:G$24)</f>
        <v>21.572154000000001</v>
      </c>
      <c r="F21" s="30">
        <f>_xlfn.XLOOKUP($B21,'F_Inputs BP'!$A$8:$A$24,'F_Inputs BP'!H$8:H$24)</f>
        <v>16.469982000000002</v>
      </c>
      <c r="G21" s="30">
        <f>_xlfn.XLOOKUP($B21,'F_Inputs BP'!$A$8:$A$24,'F_Inputs BP'!I$8:I$24)</f>
        <v>7.17</v>
      </c>
      <c r="H21" s="30">
        <f>_xlfn.XLOOKUP($B21,'F_Inputs BP'!$A$8:$A$24,'F_Inputs BP'!J$8:J$24)</f>
        <v>3.02</v>
      </c>
      <c r="I21" s="24">
        <f t="shared" si="0"/>
        <v>60.589829000000009</v>
      </c>
      <c r="J21" s="1"/>
      <c r="K21" s="16" t="str">
        <f t="shared" si="1"/>
        <v>SEW</v>
      </c>
      <c r="L21" s="24">
        <f>_xlfn.XLOOKUP($K21,Allowance!$B$10:$B$26,Allowance!$E$10:$E$26)</f>
        <v>63.53</v>
      </c>
      <c r="M21" s="30">
        <f>_xlfn.XLOOKUP($K21,'Final Input'!$A$4:$A$20,'Final Input'!F$4:F$20,0,0)</f>
        <v>14.289</v>
      </c>
      <c r="N21" s="30">
        <f>_xlfn.XLOOKUP($K21,'Final Input'!$A$4:$A$20,'Final Input'!G$4:G$20,0,0)</f>
        <v>11.874000000000001</v>
      </c>
      <c r="O21" s="30">
        <f>_xlfn.XLOOKUP($K21,'Final Input'!$A$4:$A$20,'Final Input'!H$4:H$20,0,0)</f>
        <v>8.0599999999999987</v>
      </c>
      <c r="P21" s="30">
        <f>_xlfn.XLOOKUP($K21,'Final Input'!$A$4:$A$20,'Final Input'!I$4:I$20,0,0)</f>
        <v>5.9420000000000002</v>
      </c>
      <c r="Q21" s="30">
        <f>_xlfn.XLOOKUP($K21,'Final Input'!$A$4:$A$20,'Final Input'!J$4:J$20,0,0)</f>
        <v>23.365000000000002</v>
      </c>
      <c r="R21" s="24">
        <f t="shared" si="2"/>
        <v>63.53</v>
      </c>
    </row>
    <row r="22" spans="1:31" ht="13.15">
      <c r="B22" s="16" t="str">
        <f>Allowance!B25</f>
        <v>SSC</v>
      </c>
      <c r="C22" s="24">
        <f>_xlfn.XLOOKUP(B22,Allowance!$B$10:$B$26,Allowance!$C$10:$C$26)</f>
        <v>3.3</v>
      </c>
      <c r="D22" s="30">
        <f>_xlfn.XLOOKUP($B22,'F_Inputs BP'!$A$8:$A$24,'F_Inputs BP'!F$8:F$24)</f>
        <v>0.33</v>
      </c>
      <c r="E22" s="30">
        <f>_xlfn.XLOOKUP($B22,'F_Inputs BP'!$A$8:$A$24,'F_Inputs BP'!G$8:G$24)</f>
        <v>0.66</v>
      </c>
      <c r="F22" s="30">
        <f>_xlfn.XLOOKUP($B22,'F_Inputs BP'!$A$8:$A$24,'F_Inputs BP'!H$8:H$24)</f>
        <v>0.99</v>
      </c>
      <c r="G22" s="30">
        <f>_xlfn.XLOOKUP($B22,'F_Inputs BP'!$A$8:$A$24,'F_Inputs BP'!I$8:I$24)</f>
        <v>0.99</v>
      </c>
      <c r="H22" s="30">
        <f>_xlfn.XLOOKUP($B22,'F_Inputs BP'!$A$8:$A$24,'F_Inputs BP'!J$8:J$24)</f>
        <v>0.33</v>
      </c>
      <c r="I22" s="24">
        <f t="shared" si="0"/>
        <v>3.3</v>
      </c>
      <c r="J22" s="1"/>
      <c r="K22" s="16" t="str">
        <f t="shared" si="1"/>
        <v>SSC</v>
      </c>
      <c r="L22" s="24">
        <f>_xlfn.XLOOKUP($K22,Allowance!$B$10:$B$26,Allowance!$E$10:$E$26)</f>
        <v>0</v>
      </c>
      <c r="M22" s="30">
        <f>_xlfn.XLOOKUP($K22,'Final Input'!$A$4:$A$20,'Final Input'!F$4:F$20,0,0)</f>
        <v>0</v>
      </c>
      <c r="N22" s="30">
        <f>_xlfn.XLOOKUP($K22,'Final Input'!$A$4:$A$20,'Final Input'!G$4:G$20,0,0)</f>
        <v>0</v>
      </c>
      <c r="O22" s="30">
        <f>_xlfn.XLOOKUP($K22,'Final Input'!$A$4:$A$20,'Final Input'!H$4:H$20,0,0)</f>
        <v>0</v>
      </c>
      <c r="P22" s="30">
        <f>_xlfn.XLOOKUP($K22,'Final Input'!$A$4:$A$20,'Final Input'!I$4:I$20,0,0)</f>
        <v>0</v>
      </c>
      <c r="Q22" s="30">
        <f>_xlfn.XLOOKUP($K22,'Final Input'!$A$4:$A$20,'Final Input'!J$4:J$20,0,0)</f>
        <v>0</v>
      </c>
      <c r="R22" s="24">
        <f t="shared" si="2"/>
        <v>0</v>
      </c>
    </row>
    <row r="23" spans="1:31" ht="13.15">
      <c r="B23" s="16" t="str">
        <f>Allowance!B26</f>
        <v>SES</v>
      </c>
      <c r="C23" s="24">
        <f>_xlfn.XLOOKUP(B23,Allowance!$B$10:$B$26,Allowance!$C$10:$C$26)</f>
        <v>0</v>
      </c>
      <c r="D23" s="30">
        <f>_xlfn.XLOOKUP($B23,'F_Inputs BP'!$A$8:$A$24,'F_Inputs BP'!F$8:F$24)</f>
        <v>0</v>
      </c>
      <c r="E23" s="30">
        <f>_xlfn.XLOOKUP($B23,'F_Inputs BP'!$A$8:$A$24,'F_Inputs BP'!G$8:G$24)</f>
        <v>0</v>
      </c>
      <c r="F23" s="30">
        <f>_xlfn.XLOOKUP($B23,'F_Inputs BP'!$A$8:$A$24,'F_Inputs BP'!H$8:H$24)</f>
        <v>0</v>
      </c>
      <c r="G23" s="30">
        <f>_xlfn.XLOOKUP($B23,'F_Inputs BP'!$A$8:$A$24,'F_Inputs BP'!I$8:I$24)</f>
        <v>0</v>
      </c>
      <c r="H23" s="30">
        <f>_xlfn.XLOOKUP($B23,'F_Inputs BP'!$A$8:$A$24,'F_Inputs BP'!J$8:J$24)</f>
        <v>0</v>
      </c>
      <c r="I23" s="24">
        <f t="shared" si="0"/>
        <v>0</v>
      </c>
      <c r="J23" s="1"/>
      <c r="K23" s="16" t="str">
        <f t="shared" si="1"/>
        <v>SES</v>
      </c>
      <c r="L23" s="24">
        <f>_xlfn.XLOOKUP($K23,Allowance!$B$10:$B$26,Allowance!$E$10:$E$26)</f>
        <v>0</v>
      </c>
      <c r="M23" s="30">
        <f>_xlfn.XLOOKUP($K23,'Final Input'!$A$4:$A$20,'Final Input'!F$4:F$20,0,0)</f>
        <v>0</v>
      </c>
      <c r="N23" s="30">
        <f>_xlfn.XLOOKUP($K23,'Final Input'!$A$4:$A$20,'Final Input'!G$4:G$20,0,0)</f>
        <v>0</v>
      </c>
      <c r="O23" s="30">
        <f>_xlfn.XLOOKUP($K23,'Final Input'!$A$4:$A$20,'Final Input'!H$4:H$20,0,0)</f>
        <v>0</v>
      </c>
      <c r="P23" s="30">
        <f>_xlfn.XLOOKUP($K23,'Final Input'!$A$4:$A$20,'Final Input'!I$4:I$20,0,0)</f>
        <v>0</v>
      </c>
      <c r="Q23" s="30">
        <f>_xlfn.XLOOKUP($K23,'Final Input'!$A$4:$A$20,'Final Input'!J$4:J$20,0,0)</f>
        <v>0</v>
      </c>
      <c r="R23" s="24">
        <f t="shared" si="2"/>
        <v>0</v>
      </c>
    </row>
    <row r="24" spans="1:31" ht="13.15">
      <c r="B24" s="16" t="str">
        <f>Allowance!B27</f>
        <v>Total</v>
      </c>
      <c r="C24" s="24">
        <f>Allowance!C27</f>
        <v>569.22922579999999</v>
      </c>
      <c r="D24" s="24">
        <f>SUM(D7:D23)</f>
        <v>109.197821</v>
      </c>
      <c r="E24" s="24">
        <f t="shared" ref="E24:I24" si="3">SUM(E7:E23)</f>
        <v>147.6747124</v>
      </c>
      <c r="F24" s="24">
        <f t="shared" si="3"/>
        <v>146.26921399999998</v>
      </c>
      <c r="G24" s="24">
        <f t="shared" si="3"/>
        <v>93.528017599999984</v>
      </c>
      <c r="H24" s="24">
        <f t="shared" si="3"/>
        <v>72.559460800000011</v>
      </c>
      <c r="I24" s="24">
        <f t="shared" si="3"/>
        <v>569.22922579999999</v>
      </c>
      <c r="J24" s="1"/>
      <c r="K24" s="16" t="str">
        <f t="shared" si="1"/>
        <v>Total</v>
      </c>
      <c r="L24" s="24">
        <f>SUM(L7:L23)</f>
        <v>2364.4859560193267</v>
      </c>
      <c r="M24" s="24">
        <f t="shared" ref="M24:R24" si="4">SUM(M7:M23)</f>
        <v>424.86085137768742</v>
      </c>
      <c r="N24" s="24">
        <f t="shared" si="4"/>
        <v>438.70462938604101</v>
      </c>
      <c r="O24" s="24">
        <f t="shared" si="4"/>
        <v>459.84581266179003</v>
      </c>
      <c r="P24" s="24">
        <f t="shared" si="4"/>
        <v>404.651101251505</v>
      </c>
      <c r="Q24" s="24">
        <f t="shared" si="4"/>
        <v>636.42356134230295</v>
      </c>
      <c r="R24" s="24">
        <f t="shared" si="4"/>
        <v>2364.4859560193267</v>
      </c>
    </row>
    <row r="26" spans="1:31" ht="18">
      <c r="A26" s="381" t="s">
        <v>365</v>
      </c>
      <c r="B26" s="381"/>
      <c r="C26" s="381"/>
      <c r="D26" s="381"/>
      <c r="E26" s="381"/>
      <c r="F26" s="381"/>
      <c r="G26" s="381"/>
      <c r="H26" s="381"/>
      <c r="I26" s="381"/>
      <c r="J26" s="381"/>
      <c r="K26" s="381"/>
      <c r="L26" s="381"/>
      <c r="M26" s="381"/>
      <c r="N26" s="381"/>
      <c r="O26" s="381"/>
      <c r="P26" s="381"/>
      <c r="Q26" s="381"/>
      <c r="R26" s="381"/>
      <c r="S26" s="381"/>
      <c r="T26" s="381"/>
      <c r="U26" s="381"/>
      <c r="V26" s="381"/>
      <c r="W26" s="381"/>
      <c r="X26" s="381"/>
      <c r="Y26" s="381"/>
      <c r="Z26" s="381"/>
      <c r="AA26" s="381"/>
      <c r="AB26" s="381"/>
      <c r="AC26" s="381"/>
      <c r="AD26" s="381"/>
      <c r="AE26" s="381"/>
    </row>
    <row r="28" spans="1:31" ht="14.25">
      <c r="B28" s="31" t="s">
        <v>366</v>
      </c>
      <c r="K28" s="31" t="s">
        <v>367</v>
      </c>
    </row>
    <row r="29" spans="1:31" s="128" customFormat="1" ht="26.25">
      <c r="B29" s="79" t="s">
        <v>92</v>
      </c>
      <c r="C29" s="79" t="s">
        <v>360</v>
      </c>
      <c r="D29" s="79" t="s">
        <v>361</v>
      </c>
      <c r="E29" s="79" t="s">
        <v>362</v>
      </c>
      <c r="F29" s="79" t="s">
        <v>363</v>
      </c>
      <c r="G29" s="79" t="s">
        <v>364</v>
      </c>
      <c r="H29" s="79" t="s">
        <v>368</v>
      </c>
      <c r="I29" s="263"/>
      <c r="J29" s="263"/>
      <c r="K29" s="79" t="s">
        <v>92</v>
      </c>
      <c r="L29" s="79" t="s">
        <v>369</v>
      </c>
      <c r="M29" s="79" t="s">
        <v>360</v>
      </c>
      <c r="N29" s="79" t="s">
        <v>361</v>
      </c>
      <c r="O29" s="79" t="s">
        <v>362</v>
      </c>
      <c r="P29" s="79" t="s">
        <v>363</v>
      </c>
      <c r="Q29" s="79" t="s">
        <v>364</v>
      </c>
    </row>
    <row r="30" spans="1:31" ht="13.15">
      <c r="B30" s="16" t="str">
        <f t="shared" ref="B30:B46" si="5">B7</f>
        <v>ANH</v>
      </c>
      <c r="C30" s="75">
        <f>IFERROR(M7/$R7,0)</f>
        <v>0.22689212806107131</v>
      </c>
      <c r="D30" s="75">
        <f t="shared" ref="D30:G30" si="6">IFERROR(N7/$R7,0)</f>
        <v>0.2290549813440837</v>
      </c>
      <c r="E30" s="75">
        <f t="shared" si="6"/>
        <v>0.27286569348543976</v>
      </c>
      <c r="F30" s="75">
        <f t="shared" si="6"/>
        <v>0.20325768216322856</v>
      </c>
      <c r="G30" s="75">
        <f t="shared" si="6"/>
        <v>6.7929514946176606E-2</v>
      </c>
      <c r="H30" s="76" t="str">
        <f>IF(SUM(C30:G30)=1, "reconciled","check")</f>
        <v>reconciled</v>
      </c>
      <c r="I30" s="1"/>
      <c r="J30" s="1"/>
      <c r="K30" s="16" t="str">
        <f t="shared" ref="K30:K47" si="7">B7</f>
        <v>ANH</v>
      </c>
      <c r="L30" s="24">
        <f>_xlfn.XLOOKUP(K30,Allowance!$B$10:$B$26,Allowance!$I$10:$I$26)</f>
        <v>810.50350385618265</v>
      </c>
      <c r="M30" s="30">
        <f>$L30*C30</f>
        <v>183.896864790884</v>
      </c>
      <c r="N30" s="30">
        <f t="shared" ref="N30:P30" si="8">$L30*D30</f>
        <v>185.6498649550924</v>
      </c>
      <c r="O30" s="30">
        <f t="shared" si="8"/>
        <v>221.15860065209608</v>
      </c>
      <c r="P30" s="30">
        <f t="shared" si="8"/>
        <v>164.74106357898307</v>
      </c>
      <c r="Q30" s="30">
        <f>$L30*G30</f>
        <v>55.057109879127069</v>
      </c>
      <c r="R30" s="217"/>
    </row>
    <row r="31" spans="1:31" ht="13.15">
      <c r="B31" s="16" t="str">
        <f t="shared" si="5"/>
        <v>WSH</v>
      </c>
      <c r="C31" s="75">
        <f t="shared" ref="C31:C46" si="9">IFERROR(M8/$R8,0)</f>
        <v>0</v>
      </c>
      <c r="D31" s="75">
        <f t="shared" ref="D31:D46" si="10">IFERROR(N8/$R8,0)</f>
        <v>0</v>
      </c>
      <c r="E31" s="75">
        <f t="shared" ref="E31:E46" si="11">IFERROR(O8/$R8,0)</f>
        <v>0</v>
      </c>
      <c r="F31" s="75">
        <f t="shared" ref="F31:F46" si="12">IFERROR(P8/$R8,0)</f>
        <v>0</v>
      </c>
      <c r="G31" s="75">
        <f t="shared" ref="G31:G46" si="13">IFERROR(Q8/$R8,0)</f>
        <v>0</v>
      </c>
      <c r="H31" s="77" t="str">
        <f t="shared" ref="H31:H46" si="14">IF(SUM(C31:G31)=1, "reconciled","check")</f>
        <v>check</v>
      </c>
      <c r="I31" s="1"/>
      <c r="J31" s="1"/>
      <c r="K31" s="16" t="str">
        <f t="shared" si="7"/>
        <v>WSH</v>
      </c>
      <c r="L31" s="24">
        <f>_xlfn.XLOOKUP(K31,Allowance!$B$10:$B$26,Allowance!$I$10:$I$26)</f>
        <v>0</v>
      </c>
      <c r="M31" s="30">
        <f t="shared" ref="M31:M46" si="15">$L31*C31</f>
        <v>0</v>
      </c>
      <c r="N31" s="30">
        <f t="shared" ref="N31:N46" si="16">$L31*D31</f>
        <v>0</v>
      </c>
      <c r="O31" s="30">
        <f t="shared" ref="O31:O46" si="17">$L31*E31</f>
        <v>0</v>
      </c>
      <c r="P31" s="30">
        <f t="shared" ref="P31:P46" si="18">$L31*F31</f>
        <v>0</v>
      </c>
      <c r="Q31" s="30">
        <f t="shared" ref="Q31:Q46" si="19">$L31*G31</f>
        <v>0</v>
      </c>
      <c r="R31" s="217"/>
    </row>
    <row r="32" spans="1:31" ht="13.15">
      <c r="B32" s="16" t="str">
        <f t="shared" si="5"/>
        <v>HDD</v>
      </c>
      <c r="C32" s="75">
        <f t="shared" si="9"/>
        <v>0</v>
      </c>
      <c r="D32" s="75">
        <f t="shared" si="10"/>
        <v>0</v>
      </c>
      <c r="E32" s="75">
        <f t="shared" si="11"/>
        <v>0</v>
      </c>
      <c r="F32" s="75">
        <f t="shared" si="12"/>
        <v>0</v>
      </c>
      <c r="G32" s="75">
        <f t="shared" si="13"/>
        <v>0</v>
      </c>
      <c r="H32" s="77" t="str">
        <f t="shared" si="14"/>
        <v>check</v>
      </c>
      <c r="I32" s="1"/>
      <c r="J32" s="1"/>
      <c r="K32" s="16" t="str">
        <f t="shared" si="7"/>
        <v>HDD</v>
      </c>
      <c r="L32" s="24">
        <f>_xlfn.XLOOKUP(K32,Allowance!$B$10:$B$26,Allowance!$I$10:$I$26)</f>
        <v>0</v>
      </c>
      <c r="M32" s="30">
        <f t="shared" si="15"/>
        <v>0</v>
      </c>
      <c r="N32" s="30">
        <f t="shared" si="16"/>
        <v>0</v>
      </c>
      <c r="O32" s="30">
        <f t="shared" si="17"/>
        <v>0</v>
      </c>
      <c r="P32" s="30">
        <f t="shared" si="18"/>
        <v>0</v>
      </c>
      <c r="Q32" s="30">
        <f t="shared" si="19"/>
        <v>0</v>
      </c>
      <c r="R32" s="217"/>
    </row>
    <row r="33" spans="2:18" ht="13.15">
      <c r="B33" s="16" t="str">
        <f t="shared" si="5"/>
        <v>NES</v>
      </c>
      <c r="C33" s="75">
        <f t="shared" si="9"/>
        <v>7.0145212896874226E-2</v>
      </c>
      <c r="D33" s="75">
        <f t="shared" si="10"/>
        <v>0.73664779719419149</v>
      </c>
      <c r="E33" s="75">
        <f t="shared" si="11"/>
        <v>5.7839035195668229E-2</v>
      </c>
      <c r="F33" s="75">
        <f t="shared" si="12"/>
        <v>6.2761506276150639E-2</v>
      </c>
      <c r="G33" s="75">
        <f t="shared" si="13"/>
        <v>7.2606448437115431E-2</v>
      </c>
      <c r="H33" s="77" t="str">
        <f t="shared" si="14"/>
        <v>reconciled</v>
      </c>
      <c r="I33" s="1"/>
      <c r="J33" s="1"/>
      <c r="K33" s="16" t="str">
        <f t="shared" si="7"/>
        <v>NES</v>
      </c>
      <c r="L33" s="24">
        <f>_xlfn.XLOOKUP(K33,Allowance!$B$10:$B$26,Allowance!$I$10:$I$26)</f>
        <v>48.661899999999996</v>
      </c>
      <c r="M33" s="30">
        <f t="shared" si="15"/>
        <v>3.4133993354664036</v>
      </c>
      <c r="N33" s="30">
        <f t="shared" si="16"/>
        <v>35.846681442284023</v>
      </c>
      <c r="O33" s="30">
        <f t="shared" si="17"/>
        <v>2.8145573467880873</v>
      </c>
      <c r="P33" s="30">
        <f t="shared" si="18"/>
        <v>3.0540941422594146</v>
      </c>
      <c r="Q33" s="30">
        <f t="shared" si="19"/>
        <v>3.5331677332020672</v>
      </c>
      <c r="R33" s="217"/>
    </row>
    <row r="34" spans="2:18" ht="13.15">
      <c r="B34" s="16" t="str">
        <f t="shared" si="5"/>
        <v>SVE</v>
      </c>
      <c r="C34" s="75">
        <f t="shared" si="9"/>
        <v>0.2688658717033684</v>
      </c>
      <c r="D34" s="75">
        <f t="shared" si="10"/>
        <v>0.35344677517625556</v>
      </c>
      <c r="E34" s="75">
        <f t="shared" si="11"/>
        <v>0.18019409870310732</v>
      </c>
      <c r="F34" s="75">
        <f t="shared" si="12"/>
        <v>0.12422752197754373</v>
      </c>
      <c r="G34" s="75">
        <f t="shared" si="13"/>
        <v>7.3265732439724965E-2</v>
      </c>
      <c r="H34" s="77" t="str">
        <f t="shared" si="14"/>
        <v>reconciled</v>
      </c>
      <c r="I34" s="1"/>
      <c r="J34" s="1"/>
      <c r="K34" s="16" t="str">
        <f t="shared" si="7"/>
        <v>SVE</v>
      </c>
      <c r="L34" s="24">
        <f>_xlfn.XLOOKUP(K34,Allowance!$B$10:$B$26,Allowance!$I$10:$I$26)</f>
        <v>103.40561738049739</v>
      </c>
      <c r="M34" s="30">
        <f t="shared" si="15"/>
        <v>27.802241456032412</v>
      </c>
      <c r="N34" s="30">
        <f t="shared" si="16"/>
        <v>36.548381998246562</v>
      </c>
      <c r="O34" s="30">
        <f t="shared" si="17"/>
        <v>18.633082024717098</v>
      </c>
      <c r="P34" s="30">
        <f t="shared" si="18"/>
        <v>12.845823605737218</v>
      </c>
      <c r="Q34" s="30">
        <f t="shared" si="19"/>
        <v>7.5760882957640954</v>
      </c>
      <c r="R34" s="217"/>
    </row>
    <row r="35" spans="2:18" ht="13.15">
      <c r="B35" s="16" t="str">
        <f t="shared" si="5"/>
        <v>SBB</v>
      </c>
      <c r="C35" s="75">
        <f t="shared" si="9"/>
        <v>0.18804976443704685</v>
      </c>
      <c r="D35" s="75">
        <f t="shared" si="10"/>
        <v>0.18672384122774846</v>
      </c>
      <c r="E35" s="75">
        <f t="shared" si="11"/>
        <v>0.20547013851665866</v>
      </c>
      <c r="F35" s="75">
        <f t="shared" si="12"/>
        <v>0.23795525714446916</v>
      </c>
      <c r="G35" s="75">
        <f t="shared" si="13"/>
        <v>0.18180099867407679</v>
      </c>
      <c r="H35" s="77" t="str">
        <f t="shared" si="14"/>
        <v>reconciled</v>
      </c>
      <c r="I35" s="1"/>
      <c r="J35" s="1"/>
      <c r="K35" s="16" t="str">
        <f t="shared" si="7"/>
        <v>SBB</v>
      </c>
      <c r="L35" s="24">
        <f>_xlfn.XLOOKUP(K35,Allowance!$B$10:$B$26,Allowance!$I$10:$I$26)</f>
        <v>86.815671269782442</v>
      </c>
      <c r="M35" s="30">
        <f t="shared" si="15"/>
        <v>16.325666531726686</v>
      </c>
      <c r="N35" s="30">
        <f t="shared" si="16"/>
        <v>16.21055561825926</v>
      </c>
      <c r="O35" s="30">
        <f t="shared" si="17"/>
        <v>17.838028001218902</v>
      </c>
      <c r="P35" s="30">
        <f t="shared" si="18"/>
        <v>20.658245381170783</v>
      </c>
      <c r="Q35" s="30">
        <f t="shared" si="19"/>
        <v>15.783175737406804</v>
      </c>
      <c r="R35" s="217"/>
    </row>
    <row r="36" spans="2:18" ht="13.15">
      <c r="B36" s="16" t="str">
        <f t="shared" si="5"/>
        <v>SRN</v>
      </c>
      <c r="C36" s="75">
        <f t="shared" si="9"/>
        <v>0.26423377147027177</v>
      </c>
      <c r="D36" s="75">
        <f t="shared" si="10"/>
        <v>0.2540058437188541</v>
      </c>
      <c r="E36" s="75">
        <f t="shared" si="11"/>
        <v>0.24220198595576606</v>
      </c>
      <c r="F36" s="75">
        <f t="shared" si="12"/>
        <v>0.12966922506836129</v>
      </c>
      <c r="G36" s="75">
        <f t="shared" si="13"/>
        <v>0.10988917378674687</v>
      </c>
      <c r="H36" s="77" t="str">
        <f t="shared" si="14"/>
        <v>reconciled</v>
      </c>
      <c r="I36" s="1"/>
      <c r="J36" s="1"/>
      <c r="K36" s="16" t="str">
        <f t="shared" si="7"/>
        <v>SRN</v>
      </c>
      <c r="L36" s="24">
        <f>_xlfn.XLOOKUP(K36,Allowance!$B$10:$B$26,Allowance!$I$10:$I$26)</f>
        <v>243.3550207737311</v>
      </c>
      <c r="M36" s="30">
        <f t="shared" si="15"/>
        <v>64.302614945269298</v>
      </c>
      <c r="N36" s="30">
        <f t="shared" si="16"/>
        <v>61.813597374850836</v>
      </c>
      <c r="O36" s="30">
        <f t="shared" si="17"/>
        <v>58.941069323704376</v>
      </c>
      <c r="P36" s="30">
        <f t="shared" si="18"/>
        <v>31.555656960224674</v>
      </c>
      <c r="Q36" s="30">
        <f t="shared" si="19"/>
        <v>26.742082169681932</v>
      </c>
      <c r="R36" s="217"/>
    </row>
    <row r="37" spans="2:18" ht="13.15">
      <c r="B37" s="16" t="str">
        <f t="shared" si="5"/>
        <v>TMS</v>
      </c>
      <c r="C37" s="75">
        <f t="shared" si="9"/>
        <v>9.4320771204858517E-2</v>
      </c>
      <c r="D37" s="75">
        <f t="shared" si="10"/>
        <v>9.7856782205991449E-2</v>
      </c>
      <c r="E37" s="75">
        <f t="shared" si="11"/>
        <v>0.10794689177194706</v>
      </c>
      <c r="F37" s="75">
        <f t="shared" si="12"/>
        <v>0.15194969373431275</v>
      </c>
      <c r="G37" s="75">
        <f t="shared" si="13"/>
        <v>0.54792586108289032</v>
      </c>
      <c r="H37" s="77" t="str">
        <f t="shared" si="14"/>
        <v>reconciled</v>
      </c>
      <c r="I37" s="1"/>
      <c r="J37" s="1"/>
      <c r="K37" s="16" t="str">
        <f t="shared" si="7"/>
        <v>TMS</v>
      </c>
      <c r="L37" s="24">
        <f>_xlfn.XLOOKUP(K37,Allowance!$B$10:$B$26,Allowance!$I$10:$I$26)</f>
        <v>473.95285208835242</v>
      </c>
      <c r="M37" s="30">
        <f t="shared" si="15"/>
        <v>44.703598523715641</v>
      </c>
      <c r="N37" s="30">
        <f t="shared" si="16"/>
        <v>46.379501022718379</v>
      </c>
      <c r="O37" s="30">
        <f t="shared" si="17"/>
        <v>51.161737229387015</v>
      </c>
      <c r="P37" s="30">
        <f t="shared" si="18"/>
        <v>72.016990719329172</v>
      </c>
      <c r="Q37" s="30">
        <f t="shared" si="19"/>
        <v>259.69102459320226</v>
      </c>
      <c r="R37" s="217"/>
    </row>
    <row r="38" spans="2:18" ht="13.15">
      <c r="B38" s="16" t="str">
        <f t="shared" si="5"/>
        <v>NWT</v>
      </c>
      <c r="C38" s="75">
        <f t="shared" si="9"/>
        <v>0.23187759123680929</v>
      </c>
      <c r="D38" s="75">
        <f t="shared" si="10"/>
        <v>0.2057251019444315</v>
      </c>
      <c r="E38" s="75">
        <f t="shared" si="11"/>
        <v>0.18327815402935349</v>
      </c>
      <c r="F38" s="75">
        <f t="shared" si="12"/>
        <v>0.17157000506832865</v>
      </c>
      <c r="G38" s="75">
        <f t="shared" si="13"/>
        <v>0.20754914772107713</v>
      </c>
      <c r="H38" s="77" t="str">
        <f t="shared" si="14"/>
        <v>reconciled</v>
      </c>
      <c r="I38" s="1"/>
      <c r="J38" s="1"/>
      <c r="K38" s="16" t="str">
        <f t="shared" si="7"/>
        <v>NWT</v>
      </c>
      <c r="L38" s="24">
        <f>_xlfn.XLOOKUP(K38,Allowance!$B$10:$B$26,Allowance!$I$10:$I$26)</f>
        <v>32.431412592045028</v>
      </c>
      <c r="M38" s="30">
        <f t="shared" si="15"/>
        <v>7.5201178322505262</v>
      </c>
      <c r="N38" s="30">
        <f t="shared" si="16"/>
        <v>6.671955661700383</v>
      </c>
      <c r="O38" s="30">
        <f t="shared" si="17"/>
        <v>5.9439694324343426</v>
      </c>
      <c r="P38" s="30">
        <f t="shared" si="18"/>
        <v>5.5642576227902225</v>
      </c>
      <c r="Q38" s="30">
        <f t="shared" si="19"/>
        <v>6.7311120428695546</v>
      </c>
      <c r="R38" s="217"/>
    </row>
    <row r="39" spans="2:18" ht="13.15">
      <c r="B39" s="16" t="str">
        <f t="shared" si="5"/>
        <v>WSX</v>
      </c>
      <c r="C39" s="75">
        <f t="shared" si="9"/>
        <v>0.16803146686736989</v>
      </c>
      <c r="D39" s="75">
        <f t="shared" si="10"/>
        <v>0.14925054510841293</v>
      </c>
      <c r="E39" s="75">
        <f t="shared" si="11"/>
        <v>0.23821846395643562</v>
      </c>
      <c r="F39" s="75">
        <f t="shared" si="12"/>
        <v>0.24886509535246656</v>
      </c>
      <c r="G39" s="75">
        <f t="shared" si="13"/>
        <v>0.19563442871531506</v>
      </c>
      <c r="H39" s="77" t="str">
        <f t="shared" si="14"/>
        <v>reconciled</v>
      </c>
      <c r="I39" s="1"/>
      <c r="J39" s="1"/>
      <c r="K39" s="16" t="str">
        <f t="shared" si="7"/>
        <v>WSX</v>
      </c>
      <c r="L39" s="24">
        <f>_xlfn.XLOOKUP(K39,Allowance!$B$10:$B$26,Allowance!$I$10:$I$26)</f>
        <v>68.152016193155205</v>
      </c>
      <c r="M39" s="30">
        <f t="shared" si="15"/>
        <v>11.451683250904615</v>
      </c>
      <c r="N39" s="30">
        <f t="shared" si="16"/>
        <v>10.171725567065799</v>
      </c>
      <c r="O39" s="30">
        <f t="shared" si="17"/>
        <v>16.235068613067561</v>
      </c>
      <c r="P39" s="30">
        <f t="shared" si="18"/>
        <v>16.960658008372416</v>
      </c>
      <c r="Q39" s="30">
        <f t="shared" si="19"/>
        <v>13.332880753744819</v>
      </c>
      <c r="R39" s="217"/>
    </row>
    <row r="40" spans="2:18" ht="13.15">
      <c r="B40" s="16" t="str">
        <f t="shared" si="5"/>
        <v>YKY</v>
      </c>
      <c r="C40" s="75">
        <f t="shared" si="9"/>
        <v>0.10160307067058025</v>
      </c>
      <c r="D40" s="75">
        <f t="shared" si="10"/>
        <v>0.15861368254685029</v>
      </c>
      <c r="E40" s="75">
        <f t="shared" si="11"/>
        <v>0.18646985775570107</v>
      </c>
      <c r="F40" s="75">
        <f t="shared" si="12"/>
        <v>0.28011402122375256</v>
      </c>
      <c r="G40" s="75">
        <f t="shared" si="13"/>
        <v>0.27319936780311588</v>
      </c>
      <c r="H40" s="77" t="str">
        <f t="shared" si="14"/>
        <v>reconciled</v>
      </c>
      <c r="I40" s="1"/>
      <c r="J40" s="1"/>
      <c r="K40" s="16" t="str">
        <f t="shared" si="7"/>
        <v>YKY</v>
      </c>
      <c r="L40" s="24">
        <f>_xlfn.XLOOKUP(K40,Allowance!$B$10:$B$26,Allowance!$I$10:$I$26)</f>
        <v>68.955407840753196</v>
      </c>
      <c r="M40" s="30">
        <f t="shared" si="15"/>
        <v>7.0060811759627306</v>
      </c>
      <c r="N40" s="30">
        <f t="shared" si="16"/>
        <v>10.93727116914182</v>
      </c>
      <c r="O40" s="30">
        <f t="shared" si="17"/>
        <v>12.858105091551604</v>
      </c>
      <c r="P40" s="30">
        <f t="shared" si="18"/>
        <v>19.315376575397256</v>
      </c>
      <c r="Q40" s="30">
        <f t="shared" si="19"/>
        <v>18.838573828699793</v>
      </c>
      <c r="R40" s="217"/>
    </row>
    <row r="41" spans="2:18" ht="13.15">
      <c r="B41" s="16" t="str">
        <f t="shared" si="5"/>
        <v>AFW</v>
      </c>
      <c r="C41" s="75">
        <f t="shared" si="9"/>
        <v>0.21935617573915442</v>
      </c>
      <c r="D41" s="75">
        <f t="shared" si="10"/>
        <v>0.30816523901630283</v>
      </c>
      <c r="E41" s="75">
        <f t="shared" si="11"/>
        <v>0.21756009947499305</v>
      </c>
      <c r="F41" s="75">
        <f t="shared" si="12"/>
        <v>0.18217739707101407</v>
      </c>
      <c r="G41" s="75">
        <f t="shared" si="13"/>
        <v>7.2741088698535503E-2</v>
      </c>
      <c r="H41" s="77" t="str">
        <f t="shared" si="14"/>
        <v>reconciled</v>
      </c>
      <c r="I41" s="1"/>
      <c r="J41" s="1"/>
      <c r="K41" s="16" t="str">
        <f t="shared" si="7"/>
        <v>AFW</v>
      </c>
      <c r="L41" s="24">
        <f>_xlfn.XLOOKUP(K41,Allowance!$B$10:$B$26,Allowance!$I$10:$I$26)</f>
        <v>66.200436190215214</v>
      </c>
      <c r="M41" s="30">
        <f t="shared" si="15"/>
        <v>14.521474514949526</v>
      </c>
      <c r="N41" s="30">
        <f t="shared" si="16"/>
        <v>20.400673241541174</v>
      </c>
      <c r="O41" s="30">
        <f t="shared" si="17"/>
        <v>14.402573482831151</v>
      </c>
      <c r="P41" s="30">
        <f t="shared" si="18"/>
        <v>12.060223150099167</v>
      </c>
      <c r="Q41" s="30">
        <f t="shared" si="19"/>
        <v>4.8154918007941845</v>
      </c>
      <c r="R41" s="217"/>
    </row>
    <row r="42" spans="2:18" ht="13.15">
      <c r="B42" s="16" t="str">
        <f t="shared" si="5"/>
        <v>BRL</v>
      </c>
      <c r="C42" s="75">
        <f t="shared" si="9"/>
        <v>0</v>
      </c>
      <c r="D42" s="75">
        <f t="shared" si="10"/>
        <v>0</v>
      </c>
      <c r="E42" s="75">
        <f t="shared" si="11"/>
        <v>0</v>
      </c>
      <c r="F42" s="75">
        <f t="shared" si="12"/>
        <v>0</v>
      </c>
      <c r="G42" s="75">
        <f t="shared" si="13"/>
        <v>0</v>
      </c>
      <c r="H42" s="77" t="str">
        <f t="shared" si="14"/>
        <v>check</v>
      </c>
      <c r="I42" s="1"/>
      <c r="J42" s="1"/>
      <c r="K42" s="16" t="str">
        <f t="shared" si="7"/>
        <v>BRL</v>
      </c>
      <c r="L42" s="24">
        <f>_xlfn.XLOOKUP(K42,Allowance!$B$10:$B$26,Allowance!$I$10:$I$26)</f>
        <v>0</v>
      </c>
      <c r="M42" s="30">
        <f t="shared" si="15"/>
        <v>0</v>
      </c>
      <c r="N42" s="30">
        <f t="shared" si="16"/>
        <v>0</v>
      </c>
      <c r="O42" s="30">
        <f t="shared" si="17"/>
        <v>0</v>
      </c>
      <c r="P42" s="30">
        <f t="shared" si="18"/>
        <v>0</v>
      </c>
      <c r="Q42" s="30">
        <f t="shared" si="19"/>
        <v>0</v>
      </c>
      <c r="R42" s="217"/>
    </row>
    <row r="43" spans="2:18" ht="13.15">
      <c r="B43" s="16" t="str">
        <f t="shared" si="5"/>
        <v>PRT</v>
      </c>
      <c r="C43" s="75">
        <f t="shared" si="9"/>
        <v>0</v>
      </c>
      <c r="D43" s="75">
        <f t="shared" si="10"/>
        <v>0</v>
      </c>
      <c r="E43" s="75">
        <f t="shared" si="11"/>
        <v>0</v>
      </c>
      <c r="F43" s="75">
        <f t="shared" si="12"/>
        <v>0</v>
      </c>
      <c r="G43" s="75">
        <f t="shared" si="13"/>
        <v>0</v>
      </c>
      <c r="H43" s="77" t="str">
        <f t="shared" si="14"/>
        <v>check</v>
      </c>
      <c r="I43" s="1"/>
      <c r="J43" s="1"/>
      <c r="K43" s="16" t="str">
        <f t="shared" si="7"/>
        <v>PRT</v>
      </c>
      <c r="L43" s="24">
        <f>_xlfn.XLOOKUP(K43,Allowance!$B$10:$B$26,Allowance!$I$10:$I$26)</f>
        <v>0</v>
      </c>
      <c r="M43" s="30">
        <f t="shared" si="15"/>
        <v>0</v>
      </c>
      <c r="N43" s="30">
        <f t="shared" si="16"/>
        <v>0</v>
      </c>
      <c r="O43" s="30">
        <f t="shared" si="17"/>
        <v>0</v>
      </c>
      <c r="P43" s="30">
        <f t="shared" si="18"/>
        <v>0</v>
      </c>
      <c r="Q43" s="30">
        <f t="shared" si="19"/>
        <v>0</v>
      </c>
      <c r="R43" s="217"/>
    </row>
    <row r="44" spans="2:18" ht="13.15">
      <c r="B44" s="16" t="str">
        <f t="shared" si="5"/>
        <v>SEW</v>
      </c>
      <c r="C44" s="75">
        <f>IFERROR(M21/$R21,0)</f>
        <v>0.22491736187627892</v>
      </c>
      <c r="D44" s="75">
        <f t="shared" si="10"/>
        <v>0.18690382496458366</v>
      </c>
      <c r="E44" s="75">
        <f t="shared" si="11"/>
        <v>0.12686919565559576</v>
      </c>
      <c r="F44" s="75">
        <f t="shared" si="12"/>
        <v>9.3530615457264279E-2</v>
      </c>
      <c r="G44" s="75">
        <f t="shared" si="13"/>
        <v>0.36777900204627739</v>
      </c>
      <c r="H44" s="77" t="str">
        <f>IF(SUM(C44:G44)=1, "reconciled","check")</f>
        <v>reconciled</v>
      </c>
      <c r="I44" s="1"/>
      <c r="J44" s="1"/>
      <c r="K44" s="16" t="str">
        <f t="shared" si="7"/>
        <v>SEW</v>
      </c>
      <c r="L44" s="24">
        <f>_xlfn.XLOOKUP(K44,Allowance!$B$10:$B$26,Allowance!$I$10:$I$26)</f>
        <v>72.31132366818369</v>
      </c>
      <c r="M44" s="30">
        <f t="shared" si="15"/>
        <v>16.264072153229606</v>
      </c>
      <c r="N44" s="30">
        <f t="shared" si="16"/>
        <v>13.51526298183556</v>
      </c>
      <c r="O44" s="30">
        <f t="shared" si="17"/>
        <v>9.1740794705739095</v>
      </c>
      <c r="P44" s="30">
        <f t="shared" si="18"/>
        <v>6.7633226072146622</v>
      </c>
      <c r="Q44" s="30">
        <f t="shared" si="19"/>
        <v>26.594586455329956</v>
      </c>
      <c r="R44" s="217"/>
    </row>
    <row r="45" spans="2:18" ht="13.15">
      <c r="B45" s="16" t="str">
        <f t="shared" si="5"/>
        <v>SSC</v>
      </c>
      <c r="C45" s="75">
        <f t="shared" si="9"/>
        <v>0</v>
      </c>
      <c r="D45" s="75">
        <f t="shared" si="10"/>
        <v>0</v>
      </c>
      <c r="E45" s="75">
        <f t="shared" si="11"/>
        <v>0</v>
      </c>
      <c r="F45" s="75">
        <f t="shared" si="12"/>
        <v>0</v>
      </c>
      <c r="G45" s="75">
        <f t="shared" si="13"/>
        <v>0</v>
      </c>
      <c r="H45" s="77" t="str">
        <f t="shared" si="14"/>
        <v>check</v>
      </c>
      <c r="I45" s="1"/>
      <c r="J45" s="1"/>
      <c r="K45" s="16" t="str">
        <f t="shared" si="7"/>
        <v>SSC</v>
      </c>
      <c r="L45" s="24">
        <f>_xlfn.XLOOKUP(K45,Allowance!$B$10:$B$26,Allowance!$I$10:$I$26)</f>
        <v>0</v>
      </c>
      <c r="M45" s="30">
        <f t="shared" si="15"/>
        <v>0</v>
      </c>
      <c r="N45" s="30">
        <f t="shared" si="16"/>
        <v>0</v>
      </c>
      <c r="O45" s="30">
        <f t="shared" si="17"/>
        <v>0</v>
      </c>
      <c r="P45" s="30">
        <f t="shared" si="18"/>
        <v>0</v>
      </c>
      <c r="Q45" s="30">
        <f t="shared" si="19"/>
        <v>0</v>
      </c>
      <c r="R45" s="217"/>
    </row>
    <row r="46" spans="2:18" ht="13.15">
      <c r="B46" s="16" t="str">
        <f t="shared" si="5"/>
        <v>SES</v>
      </c>
      <c r="C46" s="75">
        <f t="shared" si="9"/>
        <v>0</v>
      </c>
      <c r="D46" s="75">
        <f t="shared" si="10"/>
        <v>0</v>
      </c>
      <c r="E46" s="75">
        <f t="shared" si="11"/>
        <v>0</v>
      </c>
      <c r="F46" s="75">
        <f t="shared" si="12"/>
        <v>0</v>
      </c>
      <c r="G46" s="75">
        <f t="shared" si="13"/>
        <v>0</v>
      </c>
      <c r="H46" s="78" t="str">
        <f t="shared" si="14"/>
        <v>check</v>
      </c>
      <c r="I46" s="1"/>
      <c r="J46" s="1"/>
      <c r="K46" s="16" t="str">
        <f t="shared" si="7"/>
        <v>SES</v>
      </c>
      <c r="L46" s="24">
        <f>_xlfn.XLOOKUP(K46,Allowance!$B$10:$B$26,Allowance!$I$10:$I$26)</f>
        <v>0</v>
      </c>
      <c r="M46" s="30">
        <f t="shared" si="15"/>
        <v>0</v>
      </c>
      <c r="N46" s="30">
        <f t="shared" si="16"/>
        <v>0</v>
      </c>
      <c r="O46" s="30">
        <f t="shared" si="17"/>
        <v>0</v>
      </c>
      <c r="P46" s="30">
        <f t="shared" si="18"/>
        <v>0</v>
      </c>
      <c r="Q46" s="30">
        <f t="shared" si="19"/>
        <v>0</v>
      </c>
      <c r="R46" s="217"/>
    </row>
    <row r="47" spans="2:18" ht="13.15">
      <c r="B47" s="1"/>
      <c r="C47" s="1"/>
      <c r="D47" s="1"/>
      <c r="E47" s="1"/>
      <c r="F47" s="1"/>
      <c r="G47" s="1"/>
      <c r="H47" s="1"/>
      <c r="I47" s="1"/>
      <c r="K47" s="16" t="str">
        <f t="shared" si="7"/>
        <v>Total</v>
      </c>
      <c r="L47" s="24">
        <f>SUM(L30:L46)</f>
        <v>2074.745161852898</v>
      </c>
      <c r="M47" s="24">
        <f>SUM(M30:M46)</f>
        <v>397.20781451039153</v>
      </c>
      <c r="N47" s="24">
        <f t="shared" ref="N47:Q47" si="20">SUM(N30:N46)</f>
        <v>444.14547103273622</v>
      </c>
      <c r="O47" s="24">
        <f t="shared" si="20"/>
        <v>429.16087066837014</v>
      </c>
      <c r="P47" s="24">
        <f t="shared" si="20"/>
        <v>365.53571235157807</v>
      </c>
      <c r="Q47" s="24">
        <f t="shared" si="20"/>
        <v>438.69529328982247</v>
      </c>
    </row>
    <row r="48" spans="2:18">
      <c r="M48" s="12"/>
      <c r="N48" s="12"/>
      <c r="O48" s="12"/>
      <c r="P48" s="12"/>
      <c r="Q48" s="12"/>
    </row>
    <row r="49" spans="1:22" ht="18">
      <c r="A49" s="381" t="s">
        <v>370</v>
      </c>
      <c r="B49" s="381"/>
      <c r="C49" s="381"/>
      <c r="D49" s="381"/>
      <c r="E49" s="381"/>
      <c r="F49" s="381"/>
      <c r="G49" s="381"/>
      <c r="H49" s="381"/>
      <c r="I49" s="381"/>
      <c r="J49" s="381"/>
      <c r="K49" s="381"/>
      <c r="L49" s="381"/>
      <c r="M49" s="381"/>
      <c r="N49" s="381"/>
      <c r="O49" s="381"/>
      <c r="P49" s="381"/>
      <c r="Q49" s="381"/>
      <c r="R49" s="381"/>
      <c r="S49" s="381"/>
      <c r="T49" s="381"/>
      <c r="U49" s="381"/>
      <c r="V49" s="381"/>
    </row>
    <row r="51" spans="1:22" ht="14.25">
      <c r="B51" s="31" t="s">
        <v>169</v>
      </c>
      <c r="K51" s="31" t="s">
        <v>371</v>
      </c>
    </row>
    <row r="52" spans="1:22" ht="13.15">
      <c r="B52" s="6" t="s">
        <v>92</v>
      </c>
      <c r="C52" s="6" t="s">
        <v>360</v>
      </c>
      <c r="D52" s="6" t="s">
        <v>361</v>
      </c>
      <c r="E52" s="6" t="s">
        <v>362</v>
      </c>
      <c r="F52" s="6" t="s">
        <v>363</v>
      </c>
      <c r="G52" s="6" t="s">
        <v>364</v>
      </c>
      <c r="H52" s="6" t="s">
        <v>89</v>
      </c>
      <c r="K52" s="6" t="s">
        <v>92</v>
      </c>
      <c r="L52" s="382" t="s">
        <v>372</v>
      </c>
      <c r="M52" s="383"/>
      <c r="N52" s="383"/>
      <c r="O52" s="383"/>
      <c r="P52" s="383"/>
      <c r="Q52" s="383"/>
      <c r="R52" s="383"/>
      <c r="S52" s="383"/>
      <c r="T52" s="383"/>
      <c r="U52" s="383"/>
      <c r="V52" s="384"/>
    </row>
    <row r="53" spans="1:22" ht="13.15">
      <c r="B53" s="16" t="str">
        <f t="shared" ref="B53:B69" si="21">B7</f>
        <v>ANH</v>
      </c>
      <c r="C53" s="216"/>
      <c r="D53" s="216"/>
      <c r="E53" s="216"/>
      <c r="F53" s="216"/>
      <c r="G53" s="216"/>
      <c r="H53" s="24">
        <f t="shared" ref="H53:H69" si="22">SUM(C53:G53)</f>
        <v>0</v>
      </c>
      <c r="K53" s="16" t="str">
        <f t="shared" ref="K53:K69" si="23">K7</f>
        <v>ANH</v>
      </c>
      <c r="L53" s="385"/>
      <c r="M53" s="386"/>
      <c r="N53" s="386"/>
      <c r="O53" s="386"/>
      <c r="P53" s="386"/>
      <c r="Q53" s="386"/>
      <c r="R53" s="386"/>
      <c r="S53" s="386"/>
      <c r="T53" s="386"/>
      <c r="U53" s="386"/>
      <c r="V53" s="387"/>
    </row>
    <row r="54" spans="1:22" ht="13.15">
      <c r="B54" s="16" t="str">
        <f t="shared" si="21"/>
        <v>WSH</v>
      </c>
      <c r="C54" s="216"/>
      <c r="D54" s="216"/>
      <c r="E54" s="216"/>
      <c r="F54" s="216"/>
      <c r="G54" s="216"/>
      <c r="H54" s="24">
        <f t="shared" si="22"/>
        <v>0</v>
      </c>
      <c r="K54" s="16" t="str">
        <f t="shared" si="23"/>
        <v>WSH</v>
      </c>
      <c r="L54" s="385"/>
      <c r="M54" s="386"/>
      <c r="N54" s="386"/>
      <c r="O54" s="386"/>
      <c r="P54" s="386"/>
      <c r="Q54" s="386"/>
      <c r="R54" s="386"/>
      <c r="S54" s="386"/>
      <c r="T54" s="386"/>
      <c r="U54" s="386"/>
      <c r="V54" s="387"/>
    </row>
    <row r="55" spans="1:22" ht="13.15">
      <c r="B55" s="16" t="str">
        <f t="shared" si="21"/>
        <v>HDD</v>
      </c>
      <c r="C55" s="216"/>
      <c r="D55" s="216"/>
      <c r="E55" s="216"/>
      <c r="F55" s="216"/>
      <c r="G55" s="216"/>
      <c r="H55" s="24">
        <f t="shared" si="22"/>
        <v>0</v>
      </c>
      <c r="K55" s="16" t="str">
        <f t="shared" si="23"/>
        <v>HDD</v>
      </c>
      <c r="L55" s="385"/>
      <c r="M55" s="386"/>
      <c r="N55" s="386"/>
      <c r="O55" s="386"/>
      <c r="P55" s="386"/>
      <c r="Q55" s="386"/>
      <c r="R55" s="386"/>
      <c r="S55" s="386"/>
      <c r="T55" s="386"/>
      <c r="U55" s="386"/>
      <c r="V55" s="387"/>
    </row>
    <row r="56" spans="1:22" ht="13.15">
      <c r="B56" s="16" t="str">
        <f t="shared" si="21"/>
        <v>NES</v>
      </c>
      <c r="C56" s="216"/>
      <c r="D56" s="216"/>
      <c r="E56" s="216"/>
      <c r="F56" s="216"/>
      <c r="G56" s="216"/>
      <c r="H56" s="24">
        <f t="shared" si="22"/>
        <v>0</v>
      </c>
      <c r="K56" s="16" t="str">
        <f t="shared" si="23"/>
        <v>NES</v>
      </c>
      <c r="L56" s="385"/>
      <c r="M56" s="386"/>
      <c r="N56" s="386"/>
      <c r="O56" s="386"/>
      <c r="P56" s="386"/>
      <c r="Q56" s="386"/>
      <c r="R56" s="386"/>
      <c r="S56" s="386"/>
      <c r="T56" s="386"/>
      <c r="U56" s="386"/>
      <c r="V56" s="387"/>
    </row>
    <row r="57" spans="1:22" ht="13.15">
      <c r="B57" s="16" t="str">
        <f t="shared" si="21"/>
        <v>SVE</v>
      </c>
      <c r="C57" s="153"/>
      <c r="D57" s="153"/>
      <c r="E57" s="153"/>
      <c r="F57" s="153"/>
      <c r="G57" s="153"/>
      <c r="H57" s="24">
        <f>SUM(C57:G57)</f>
        <v>0</v>
      </c>
      <c r="K57" s="16" t="str">
        <f t="shared" si="23"/>
        <v>SVE</v>
      </c>
      <c r="L57" s="388"/>
      <c r="M57" s="389"/>
      <c r="N57" s="389"/>
      <c r="O57" s="389"/>
      <c r="P57" s="389"/>
      <c r="Q57" s="389"/>
      <c r="R57" s="389"/>
      <c r="S57" s="389"/>
      <c r="T57" s="389"/>
      <c r="U57" s="389"/>
      <c r="V57" s="390"/>
    </row>
    <row r="58" spans="1:22" ht="13.15">
      <c r="B58" s="16" t="str">
        <f t="shared" si="21"/>
        <v>SBB</v>
      </c>
      <c r="C58" s="153"/>
      <c r="D58" s="153"/>
      <c r="E58" s="153"/>
      <c r="F58" s="153"/>
      <c r="G58" s="153"/>
      <c r="H58" s="24">
        <f>SUM(C58:G58)</f>
        <v>0</v>
      </c>
      <c r="K58" s="16" t="str">
        <f t="shared" si="23"/>
        <v>SBB</v>
      </c>
      <c r="L58" s="388"/>
      <c r="M58" s="389"/>
      <c r="N58" s="389"/>
      <c r="O58" s="389"/>
      <c r="P58" s="389"/>
      <c r="Q58" s="389"/>
      <c r="R58" s="389"/>
      <c r="S58" s="389"/>
      <c r="T58" s="389"/>
      <c r="U58" s="389"/>
      <c r="V58" s="390"/>
    </row>
    <row r="59" spans="1:22" ht="13.15">
      <c r="B59" s="16" t="str">
        <f t="shared" si="21"/>
        <v>SRN</v>
      </c>
      <c r="C59" s="153"/>
      <c r="D59" s="153"/>
      <c r="E59" s="153"/>
      <c r="F59" s="153"/>
      <c r="G59" s="153"/>
      <c r="H59" s="24">
        <f t="shared" si="22"/>
        <v>0</v>
      </c>
      <c r="K59" s="16" t="str">
        <f t="shared" si="23"/>
        <v>SRN</v>
      </c>
      <c r="L59" s="388"/>
      <c r="M59" s="389"/>
      <c r="N59" s="389"/>
      <c r="O59" s="389"/>
      <c r="P59" s="389"/>
      <c r="Q59" s="389"/>
      <c r="R59" s="389"/>
      <c r="S59" s="389"/>
      <c r="T59" s="389"/>
      <c r="U59" s="389"/>
      <c r="V59" s="390"/>
    </row>
    <row r="60" spans="1:22" ht="13.15">
      <c r="B60" s="16" t="str">
        <f t="shared" si="21"/>
        <v>TMS</v>
      </c>
      <c r="C60" s="153"/>
      <c r="D60" s="153"/>
      <c r="E60" s="153"/>
      <c r="F60" s="153"/>
      <c r="G60" s="153"/>
      <c r="H60" s="24">
        <f t="shared" si="22"/>
        <v>0</v>
      </c>
      <c r="K60" s="16" t="str">
        <f t="shared" si="23"/>
        <v>TMS</v>
      </c>
      <c r="L60" s="388"/>
      <c r="M60" s="389"/>
      <c r="N60" s="389"/>
      <c r="O60" s="389"/>
      <c r="P60" s="389"/>
      <c r="Q60" s="389"/>
      <c r="R60" s="389"/>
      <c r="S60" s="389"/>
      <c r="T60" s="389"/>
      <c r="U60" s="389"/>
      <c r="V60" s="390"/>
    </row>
    <row r="61" spans="1:22" ht="13.15">
      <c r="B61" s="16" t="str">
        <f t="shared" si="21"/>
        <v>NWT</v>
      </c>
      <c r="C61" s="153"/>
      <c r="D61" s="153"/>
      <c r="E61" s="153"/>
      <c r="F61" s="153"/>
      <c r="G61" s="153"/>
      <c r="H61" s="24">
        <f t="shared" si="22"/>
        <v>0</v>
      </c>
      <c r="K61" s="16" t="str">
        <f t="shared" si="23"/>
        <v>NWT</v>
      </c>
      <c r="L61" s="388"/>
      <c r="M61" s="389"/>
      <c r="N61" s="389"/>
      <c r="O61" s="389"/>
      <c r="P61" s="389"/>
      <c r="Q61" s="389"/>
      <c r="R61" s="389"/>
      <c r="S61" s="389"/>
      <c r="T61" s="389"/>
      <c r="U61" s="389"/>
      <c r="V61" s="390"/>
    </row>
    <row r="62" spans="1:22" ht="13.15">
      <c r="B62" s="16" t="str">
        <f t="shared" si="21"/>
        <v>WSX</v>
      </c>
      <c r="C62" s="153"/>
      <c r="D62" s="153"/>
      <c r="E62" s="153"/>
      <c r="F62" s="153"/>
      <c r="G62" s="153"/>
      <c r="H62" s="24">
        <f t="shared" si="22"/>
        <v>0</v>
      </c>
      <c r="K62" s="16" t="str">
        <f t="shared" si="23"/>
        <v>WSX</v>
      </c>
      <c r="L62" s="388"/>
      <c r="M62" s="389"/>
      <c r="N62" s="389"/>
      <c r="O62" s="389"/>
      <c r="P62" s="389"/>
      <c r="Q62" s="389"/>
      <c r="R62" s="389"/>
      <c r="S62" s="389"/>
      <c r="T62" s="389"/>
      <c r="U62" s="389"/>
      <c r="V62" s="390"/>
    </row>
    <row r="63" spans="1:22" ht="13.15">
      <c r="B63" s="16" t="str">
        <f t="shared" si="21"/>
        <v>YKY</v>
      </c>
      <c r="C63" s="153"/>
      <c r="D63" s="153"/>
      <c r="E63" s="153"/>
      <c r="F63" s="153"/>
      <c r="G63" s="153"/>
      <c r="H63" s="24">
        <f t="shared" si="22"/>
        <v>0</v>
      </c>
      <c r="K63" s="16" t="str">
        <f t="shared" si="23"/>
        <v>YKY</v>
      </c>
      <c r="L63" s="388"/>
      <c r="M63" s="389"/>
      <c r="N63" s="389"/>
      <c r="O63" s="389"/>
      <c r="P63" s="389"/>
      <c r="Q63" s="389"/>
      <c r="R63" s="389"/>
      <c r="S63" s="389"/>
      <c r="T63" s="389"/>
      <c r="U63" s="389"/>
      <c r="V63" s="390"/>
    </row>
    <row r="64" spans="1:22" ht="13.15">
      <c r="B64" s="16" t="str">
        <f t="shared" si="21"/>
        <v>AFW</v>
      </c>
      <c r="C64" s="153"/>
      <c r="D64" s="153"/>
      <c r="E64" s="153"/>
      <c r="F64" s="153"/>
      <c r="G64" s="153"/>
      <c r="H64" s="24">
        <f t="shared" si="22"/>
        <v>0</v>
      </c>
      <c r="K64" s="16" t="str">
        <f t="shared" si="23"/>
        <v>AFW</v>
      </c>
      <c r="L64" s="388"/>
      <c r="M64" s="389"/>
      <c r="N64" s="389"/>
      <c r="O64" s="389"/>
      <c r="P64" s="389"/>
      <c r="Q64" s="389"/>
      <c r="R64" s="389"/>
      <c r="S64" s="389"/>
      <c r="T64" s="389"/>
      <c r="U64" s="389"/>
      <c r="V64" s="390"/>
    </row>
    <row r="65" spans="1:31" ht="13.15">
      <c r="B65" s="16" t="str">
        <f t="shared" si="21"/>
        <v>BRL</v>
      </c>
      <c r="C65" s="216"/>
      <c r="D65" s="216"/>
      <c r="E65" s="216"/>
      <c r="F65" s="216"/>
      <c r="G65" s="216"/>
      <c r="H65" s="24">
        <f t="shared" si="22"/>
        <v>0</v>
      </c>
      <c r="K65" s="16" t="str">
        <f t="shared" si="23"/>
        <v>BRL</v>
      </c>
      <c r="L65" s="388"/>
      <c r="M65" s="389"/>
      <c r="N65" s="389"/>
      <c r="O65" s="389"/>
      <c r="P65" s="389"/>
      <c r="Q65" s="389"/>
      <c r="R65" s="389"/>
      <c r="S65" s="389"/>
      <c r="T65" s="389"/>
      <c r="U65" s="389"/>
      <c r="V65" s="390"/>
    </row>
    <row r="66" spans="1:31" ht="13.15">
      <c r="B66" s="16" t="str">
        <f t="shared" si="21"/>
        <v>PRT</v>
      </c>
      <c r="C66" s="216"/>
      <c r="D66" s="216"/>
      <c r="E66" s="216"/>
      <c r="F66" s="216"/>
      <c r="G66" s="216"/>
      <c r="H66" s="24">
        <f t="shared" si="22"/>
        <v>0</v>
      </c>
      <c r="K66" s="16" t="str">
        <f t="shared" si="23"/>
        <v>PRT</v>
      </c>
      <c r="L66" s="388"/>
      <c r="M66" s="389"/>
      <c r="N66" s="389"/>
      <c r="O66" s="389"/>
      <c r="P66" s="389"/>
      <c r="Q66" s="389"/>
      <c r="R66" s="389"/>
      <c r="S66" s="389"/>
      <c r="T66" s="389"/>
      <c r="U66" s="389"/>
      <c r="V66" s="390"/>
    </row>
    <row r="67" spans="1:31" ht="13.15">
      <c r="B67" s="16" t="str">
        <f t="shared" si="21"/>
        <v>SEW</v>
      </c>
      <c r="C67" s="216"/>
      <c r="D67" s="216"/>
      <c r="E67" s="216"/>
      <c r="F67" s="216"/>
      <c r="G67" s="216"/>
      <c r="H67" s="24">
        <f t="shared" si="22"/>
        <v>0</v>
      </c>
      <c r="K67" s="16" t="str">
        <f t="shared" si="23"/>
        <v>SEW</v>
      </c>
      <c r="L67" s="388"/>
      <c r="M67" s="389"/>
      <c r="N67" s="389"/>
      <c r="O67" s="389"/>
      <c r="P67" s="389"/>
      <c r="Q67" s="389"/>
      <c r="R67" s="389"/>
      <c r="S67" s="389"/>
      <c r="T67" s="389"/>
      <c r="U67" s="389"/>
      <c r="V67" s="390"/>
    </row>
    <row r="68" spans="1:31" ht="13.15">
      <c r="B68" s="16" t="str">
        <f t="shared" si="21"/>
        <v>SSC</v>
      </c>
      <c r="C68" s="216"/>
      <c r="D68" s="216"/>
      <c r="E68" s="216"/>
      <c r="F68" s="216"/>
      <c r="G68" s="216"/>
      <c r="H68" s="24">
        <f t="shared" si="22"/>
        <v>0</v>
      </c>
      <c r="K68" s="16" t="str">
        <f t="shared" si="23"/>
        <v>SSC</v>
      </c>
      <c r="L68" s="388"/>
      <c r="M68" s="389"/>
      <c r="N68" s="389"/>
      <c r="O68" s="389"/>
      <c r="P68" s="389"/>
      <c r="Q68" s="389"/>
      <c r="R68" s="389"/>
      <c r="S68" s="389"/>
      <c r="T68" s="389"/>
      <c r="U68" s="389"/>
      <c r="V68" s="390"/>
    </row>
    <row r="69" spans="1:31" ht="13.15">
      <c r="B69" s="16" t="str">
        <f t="shared" si="21"/>
        <v>SES</v>
      </c>
      <c r="C69" s="216"/>
      <c r="D69" s="216"/>
      <c r="E69" s="216"/>
      <c r="F69" s="216"/>
      <c r="G69" s="216"/>
      <c r="H69" s="24">
        <f t="shared" si="22"/>
        <v>0</v>
      </c>
      <c r="K69" s="16" t="str">
        <f t="shared" si="23"/>
        <v>SES</v>
      </c>
      <c r="L69" s="388"/>
      <c r="M69" s="389"/>
      <c r="N69" s="389"/>
      <c r="O69" s="389"/>
      <c r="P69" s="389"/>
      <c r="Q69" s="389"/>
      <c r="R69" s="389"/>
      <c r="S69" s="389"/>
      <c r="T69" s="389"/>
      <c r="U69" s="389"/>
      <c r="V69" s="390"/>
    </row>
    <row r="72" spans="1:31" ht="18">
      <c r="A72" s="381" t="s">
        <v>373</v>
      </c>
      <c r="B72" s="381"/>
      <c r="C72" s="381"/>
      <c r="D72" s="381"/>
      <c r="E72" s="381"/>
      <c r="F72" s="381"/>
      <c r="G72" s="381"/>
      <c r="H72" s="381"/>
      <c r="I72" s="381"/>
      <c r="J72" s="381"/>
      <c r="K72" s="381"/>
      <c r="L72" s="381"/>
      <c r="M72" s="381"/>
      <c r="N72" s="381"/>
      <c r="O72" s="381"/>
      <c r="P72" s="381"/>
      <c r="Q72" s="381"/>
      <c r="R72" s="381"/>
      <c r="S72" s="381"/>
      <c r="T72" s="381"/>
      <c r="U72" s="381"/>
      <c r="V72" s="381"/>
      <c r="W72" s="381"/>
      <c r="X72" s="381"/>
      <c r="Y72" s="381"/>
      <c r="Z72" s="381"/>
      <c r="AA72" s="381"/>
      <c r="AB72" s="381"/>
      <c r="AC72" s="381"/>
      <c r="AD72" s="381"/>
      <c r="AE72" s="381"/>
    </row>
    <row r="74" spans="1:31" ht="14.25">
      <c r="B74" s="31" t="s">
        <v>374</v>
      </c>
    </row>
    <row r="75" spans="1:31" s="128" customFormat="1" ht="26.25">
      <c r="B75" s="79" t="s">
        <v>92</v>
      </c>
      <c r="C75" s="79" t="s">
        <v>369</v>
      </c>
      <c r="D75" s="79" t="s">
        <v>360</v>
      </c>
      <c r="E75" s="79" t="s">
        <v>361</v>
      </c>
      <c r="F75" s="79" t="s">
        <v>362</v>
      </c>
      <c r="G75" s="79" t="s">
        <v>363</v>
      </c>
      <c r="H75" s="79" t="s">
        <v>364</v>
      </c>
    </row>
    <row r="76" spans="1:31" ht="13.15">
      <c r="B76" s="6" t="str">
        <f t="shared" ref="B76:B93" si="24">B7</f>
        <v>ANH</v>
      </c>
      <c r="C76" s="24">
        <f>_xlfn.XLOOKUP(B76,Allowance!$B$10:$B$26,Allowance!$I$10:$I$26)</f>
        <v>810.50350385618265</v>
      </c>
      <c r="D76" s="30">
        <f t="shared" ref="D76:D92" si="25">IF(ISBLANK(C53)=TRUE,M30,C53)</f>
        <v>183.896864790884</v>
      </c>
      <c r="E76" s="30">
        <f t="shared" ref="E76:E92" si="26">IF(ISBLANK(D53)=TRUE,N30,D53)</f>
        <v>185.6498649550924</v>
      </c>
      <c r="F76" s="30">
        <f t="shared" ref="F76:F92" si="27">IF(ISBLANK(E53)=TRUE,O30,E53)</f>
        <v>221.15860065209608</v>
      </c>
      <c r="G76" s="30">
        <f t="shared" ref="G76:G92" si="28">IF(ISBLANK(F53)=TRUE,P30,F53)</f>
        <v>164.74106357898307</v>
      </c>
      <c r="H76" s="30">
        <f t="shared" ref="H76:H92" si="29">IF(ISBLANK(G53)=TRUE,Q30,G53)</f>
        <v>55.057109879127069</v>
      </c>
      <c r="I76" s="29"/>
      <c r="K76" s="29"/>
    </row>
    <row r="77" spans="1:31" ht="13.15">
      <c r="B77" s="6" t="str">
        <f t="shared" si="24"/>
        <v>WSH</v>
      </c>
      <c r="C77" s="24">
        <f>_xlfn.XLOOKUP(B77,Allowance!$B$10:$B$26,Allowance!$I$10:$I$26)</f>
        <v>0</v>
      </c>
      <c r="D77" s="30">
        <f t="shared" si="25"/>
        <v>0</v>
      </c>
      <c r="E77" s="30">
        <f t="shared" si="26"/>
        <v>0</v>
      </c>
      <c r="F77" s="30">
        <f t="shared" si="27"/>
        <v>0</v>
      </c>
      <c r="G77" s="30">
        <f t="shared" si="28"/>
        <v>0</v>
      </c>
      <c r="H77" s="30">
        <f t="shared" si="29"/>
        <v>0</v>
      </c>
      <c r="I77" s="29"/>
      <c r="K77" s="29"/>
    </row>
    <row r="78" spans="1:31" ht="13.15">
      <c r="B78" s="6" t="str">
        <f t="shared" si="24"/>
        <v>HDD</v>
      </c>
      <c r="C78" s="24">
        <f>_xlfn.XLOOKUP(B78,Allowance!$B$10:$B$26,Allowance!$I$10:$I$26)</f>
        <v>0</v>
      </c>
      <c r="D78" s="30">
        <f t="shared" si="25"/>
        <v>0</v>
      </c>
      <c r="E78" s="30">
        <f t="shared" si="26"/>
        <v>0</v>
      </c>
      <c r="F78" s="30">
        <f t="shared" si="27"/>
        <v>0</v>
      </c>
      <c r="G78" s="30">
        <f t="shared" si="28"/>
        <v>0</v>
      </c>
      <c r="H78" s="30">
        <f t="shared" si="29"/>
        <v>0</v>
      </c>
      <c r="I78" s="29"/>
      <c r="K78" s="29"/>
    </row>
    <row r="79" spans="1:31" ht="13.15">
      <c r="B79" s="6" t="str">
        <f t="shared" si="24"/>
        <v>NES</v>
      </c>
      <c r="C79" s="24">
        <f>_xlfn.XLOOKUP(B79,Allowance!$B$10:$B$26,Allowance!$I$10:$I$26)</f>
        <v>48.661899999999996</v>
      </c>
      <c r="D79" s="30">
        <f t="shared" si="25"/>
        <v>3.4133993354664036</v>
      </c>
      <c r="E79" s="30">
        <f t="shared" si="26"/>
        <v>35.846681442284023</v>
      </c>
      <c r="F79" s="30">
        <f t="shared" si="27"/>
        <v>2.8145573467880873</v>
      </c>
      <c r="G79" s="30">
        <f t="shared" si="28"/>
        <v>3.0540941422594146</v>
      </c>
      <c r="H79" s="30">
        <f t="shared" si="29"/>
        <v>3.5331677332020672</v>
      </c>
      <c r="I79" s="29"/>
      <c r="K79" s="29"/>
    </row>
    <row r="80" spans="1:31" ht="13.15">
      <c r="B80" s="6" t="str">
        <f t="shared" si="24"/>
        <v>SVE</v>
      </c>
      <c r="C80" s="24">
        <f>_xlfn.XLOOKUP(B80,Allowance!$B$10:$B$26,Allowance!$I$10:$I$26)</f>
        <v>103.40561738049739</v>
      </c>
      <c r="D80" s="30">
        <f t="shared" si="25"/>
        <v>27.802241456032412</v>
      </c>
      <c r="E80" s="30">
        <f t="shared" si="26"/>
        <v>36.548381998246562</v>
      </c>
      <c r="F80" s="30">
        <f t="shared" si="27"/>
        <v>18.633082024717098</v>
      </c>
      <c r="G80" s="30">
        <f t="shared" si="28"/>
        <v>12.845823605737218</v>
      </c>
      <c r="H80" s="30">
        <f t="shared" si="29"/>
        <v>7.5760882957640954</v>
      </c>
      <c r="I80" s="29"/>
      <c r="K80" s="29"/>
    </row>
    <row r="81" spans="2:11" ht="13.15">
      <c r="B81" s="6" t="str">
        <f t="shared" si="24"/>
        <v>SBB</v>
      </c>
      <c r="C81" s="24">
        <f>_xlfn.XLOOKUP(B81,Allowance!$B$10:$B$26,Allowance!$I$10:$I$26)</f>
        <v>86.815671269782442</v>
      </c>
      <c r="D81" s="30">
        <f t="shared" si="25"/>
        <v>16.325666531726686</v>
      </c>
      <c r="E81" s="30">
        <f t="shared" si="26"/>
        <v>16.21055561825926</v>
      </c>
      <c r="F81" s="30">
        <f t="shared" si="27"/>
        <v>17.838028001218902</v>
      </c>
      <c r="G81" s="30">
        <f t="shared" si="28"/>
        <v>20.658245381170783</v>
      </c>
      <c r="H81" s="30">
        <f t="shared" si="29"/>
        <v>15.783175737406804</v>
      </c>
      <c r="I81" s="29"/>
      <c r="K81" s="29"/>
    </row>
    <row r="82" spans="2:11" ht="13.15">
      <c r="B82" s="6" t="str">
        <f t="shared" si="24"/>
        <v>SRN</v>
      </c>
      <c r="C82" s="24">
        <f>_xlfn.XLOOKUP(B82,Allowance!$B$10:$B$26,Allowance!$I$10:$I$26)</f>
        <v>243.3550207737311</v>
      </c>
      <c r="D82" s="30">
        <f t="shared" si="25"/>
        <v>64.302614945269298</v>
      </c>
      <c r="E82" s="30">
        <f t="shared" si="26"/>
        <v>61.813597374850836</v>
      </c>
      <c r="F82" s="30">
        <f t="shared" si="27"/>
        <v>58.941069323704376</v>
      </c>
      <c r="G82" s="30">
        <f t="shared" si="28"/>
        <v>31.555656960224674</v>
      </c>
      <c r="H82" s="30">
        <f t="shared" si="29"/>
        <v>26.742082169681932</v>
      </c>
      <c r="I82" s="29"/>
      <c r="K82" s="29"/>
    </row>
    <row r="83" spans="2:11" ht="13.15">
      <c r="B83" s="6" t="str">
        <f t="shared" si="24"/>
        <v>TMS</v>
      </c>
      <c r="C83" s="24">
        <f>_xlfn.XLOOKUP(B83,Allowance!$B$10:$B$26,Allowance!$I$10:$I$26)</f>
        <v>473.95285208835242</v>
      </c>
      <c r="D83" s="30">
        <f t="shared" si="25"/>
        <v>44.703598523715641</v>
      </c>
      <c r="E83" s="30">
        <f t="shared" si="26"/>
        <v>46.379501022718379</v>
      </c>
      <c r="F83" s="30">
        <f t="shared" si="27"/>
        <v>51.161737229387015</v>
      </c>
      <c r="G83" s="30">
        <f t="shared" si="28"/>
        <v>72.016990719329172</v>
      </c>
      <c r="H83" s="30">
        <f t="shared" si="29"/>
        <v>259.69102459320226</v>
      </c>
      <c r="I83" s="29"/>
      <c r="K83" s="29"/>
    </row>
    <row r="84" spans="2:11" ht="13.15">
      <c r="B84" s="6" t="str">
        <f t="shared" si="24"/>
        <v>NWT</v>
      </c>
      <c r="C84" s="24">
        <f>_xlfn.XLOOKUP(B84,Allowance!$B$10:$B$26,Allowance!$I$10:$I$26)</f>
        <v>32.431412592045028</v>
      </c>
      <c r="D84" s="30">
        <f t="shared" si="25"/>
        <v>7.5201178322505262</v>
      </c>
      <c r="E84" s="30">
        <f t="shared" si="26"/>
        <v>6.671955661700383</v>
      </c>
      <c r="F84" s="30">
        <f t="shared" si="27"/>
        <v>5.9439694324343426</v>
      </c>
      <c r="G84" s="30">
        <f t="shared" si="28"/>
        <v>5.5642576227902225</v>
      </c>
      <c r="H84" s="30">
        <f t="shared" si="29"/>
        <v>6.7311120428695546</v>
      </c>
      <c r="I84" s="29"/>
      <c r="K84" s="29"/>
    </row>
    <row r="85" spans="2:11" ht="13.15">
      <c r="B85" s="6" t="str">
        <f t="shared" si="24"/>
        <v>WSX</v>
      </c>
      <c r="C85" s="24">
        <f>_xlfn.XLOOKUP(B85,Allowance!$B$10:$B$26,Allowance!$I$10:$I$26)</f>
        <v>68.152016193155205</v>
      </c>
      <c r="D85" s="30">
        <f t="shared" si="25"/>
        <v>11.451683250904615</v>
      </c>
      <c r="E85" s="30">
        <f t="shared" si="26"/>
        <v>10.171725567065799</v>
      </c>
      <c r="F85" s="30">
        <f t="shared" si="27"/>
        <v>16.235068613067561</v>
      </c>
      <c r="G85" s="30">
        <f t="shared" si="28"/>
        <v>16.960658008372416</v>
      </c>
      <c r="H85" s="30">
        <f t="shared" si="29"/>
        <v>13.332880753744819</v>
      </c>
      <c r="I85" s="29"/>
      <c r="K85" s="29"/>
    </row>
    <row r="86" spans="2:11" ht="13.15">
      <c r="B86" s="6" t="str">
        <f t="shared" si="24"/>
        <v>YKY</v>
      </c>
      <c r="C86" s="24">
        <f>_xlfn.XLOOKUP(B86,Allowance!$B$10:$B$26,Allowance!$I$10:$I$26)</f>
        <v>68.955407840753196</v>
      </c>
      <c r="D86" s="30">
        <f t="shared" si="25"/>
        <v>7.0060811759627306</v>
      </c>
      <c r="E86" s="30">
        <f t="shared" si="26"/>
        <v>10.93727116914182</v>
      </c>
      <c r="F86" s="30">
        <f t="shared" si="27"/>
        <v>12.858105091551604</v>
      </c>
      <c r="G86" s="30">
        <f t="shared" si="28"/>
        <v>19.315376575397256</v>
      </c>
      <c r="H86" s="30">
        <f t="shared" si="29"/>
        <v>18.838573828699793</v>
      </c>
      <c r="I86" s="29"/>
      <c r="K86" s="29"/>
    </row>
    <row r="87" spans="2:11" ht="13.15">
      <c r="B87" s="6" t="str">
        <f t="shared" si="24"/>
        <v>AFW</v>
      </c>
      <c r="C87" s="24">
        <f>_xlfn.XLOOKUP(B87,Allowance!$B$10:$B$26,Allowance!$I$10:$I$26)</f>
        <v>66.200436190215214</v>
      </c>
      <c r="D87" s="30">
        <f t="shared" si="25"/>
        <v>14.521474514949526</v>
      </c>
      <c r="E87" s="30">
        <f t="shared" si="26"/>
        <v>20.400673241541174</v>
      </c>
      <c r="F87" s="30">
        <f t="shared" si="27"/>
        <v>14.402573482831151</v>
      </c>
      <c r="G87" s="30">
        <f t="shared" si="28"/>
        <v>12.060223150099167</v>
      </c>
      <c r="H87" s="30">
        <f t="shared" si="29"/>
        <v>4.8154918007941845</v>
      </c>
      <c r="I87" s="29"/>
      <c r="K87" s="29"/>
    </row>
    <row r="88" spans="2:11" ht="13.15">
      <c r="B88" s="6" t="str">
        <f t="shared" si="24"/>
        <v>BRL</v>
      </c>
      <c r="C88" s="24">
        <f>_xlfn.XLOOKUP(B88,Allowance!$B$10:$B$26,Allowance!$I$10:$I$26)</f>
        <v>0</v>
      </c>
      <c r="D88" s="30">
        <f t="shared" si="25"/>
        <v>0</v>
      </c>
      <c r="E88" s="30">
        <f t="shared" si="26"/>
        <v>0</v>
      </c>
      <c r="F88" s="30">
        <f t="shared" si="27"/>
        <v>0</v>
      </c>
      <c r="G88" s="30">
        <f t="shared" si="28"/>
        <v>0</v>
      </c>
      <c r="H88" s="30">
        <f t="shared" si="29"/>
        <v>0</v>
      </c>
      <c r="I88" s="29"/>
      <c r="K88" s="29"/>
    </row>
    <row r="89" spans="2:11" ht="13.15">
      <c r="B89" s="6" t="str">
        <f t="shared" si="24"/>
        <v>PRT</v>
      </c>
      <c r="C89" s="24">
        <f>_xlfn.XLOOKUP(B89,Allowance!$B$10:$B$26,Allowance!$I$10:$I$26)</f>
        <v>0</v>
      </c>
      <c r="D89" s="30">
        <f t="shared" si="25"/>
        <v>0</v>
      </c>
      <c r="E89" s="30">
        <f t="shared" si="26"/>
        <v>0</v>
      </c>
      <c r="F89" s="30">
        <f t="shared" si="27"/>
        <v>0</v>
      </c>
      <c r="G89" s="30">
        <f t="shared" si="28"/>
        <v>0</v>
      </c>
      <c r="H89" s="30">
        <f t="shared" si="29"/>
        <v>0</v>
      </c>
      <c r="I89" s="29"/>
      <c r="K89" s="29"/>
    </row>
    <row r="90" spans="2:11" ht="13.15">
      <c r="B90" s="6" t="str">
        <f t="shared" si="24"/>
        <v>SEW</v>
      </c>
      <c r="C90" s="24">
        <f>_xlfn.XLOOKUP(B90,Allowance!$B$10:$B$26,Allowance!$I$10:$I$26)</f>
        <v>72.31132366818369</v>
      </c>
      <c r="D90" s="30">
        <f t="shared" si="25"/>
        <v>16.264072153229606</v>
      </c>
      <c r="E90" s="30">
        <f t="shared" si="26"/>
        <v>13.51526298183556</v>
      </c>
      <c r="F90" s="30">
        <f t="shared" si="27"/>
        <v>9.1740794705739095</v>
      </c>
      <c r="G90" s="30">
        <f t="shared" si="28"/>
        <v>6.7633226072146622</v>
      </c>
      <c r="H90" s="30">
        <f t="shared" si="29"/>
        <v>26.594586455329956</v>
      </c>
      <c r="I90" s="29"/>
      <c r="K90" s="29"/>
    </row>
    <row r="91" spans="2:11" ht="13.15">
      <c r="B91" s="6" t="str">
        <f t="shared" si="24"/>
        <v>SSC</v>
      </c>
      <c r="C91" s="24">
        <f>_xlfn.XLOOKUP(B91,Allowance!$B$10:$B$26,Allowance!$I$10:$I$26)</f>
        <v>0</v>
      </c>
      <c r="D91" s="30">
        <f t="shared" si="25"/>
        <v>0</v>
      </c>
      <c r="E91" s="30">
        <f t="shared" si="26"/>
        <v>0</v>
      </c>
      <c r="F91" s="30">
        <f t="shared" si="27"/>
        <v>0</v>
      </c>
      <c r="G91" s="30">
        <f t="shared" si="28"/>
        <v>0</v>
      </c>
      <c r="H91" s="30">
        <f t="shared" si="29"/>
        <v>0</v>
      </c>
      <c r="I91" s="29"/>
      <c r="K91" s="29"/>
    </row>
    <row r="92" spans="2:11" ht="13.15">
      <c r="B92" s="6" t="str">
        <f t="shared" si="24"/>
        <v>SES</v>
      </c>
      <c r="C92" s="24">
        <f>_xlfn.XLOOKUP(B92,Allowance!$B$10:$B$26,Allowance!$I$10:$I$26)</f>
        <v>0</v>
      </c>
      <c r="D92" s="30">
        <f t="shared" si="25"/>
        <v>0</v>
      </c>
      <c r="E92" s="30">
        <f t="shared" si="26"/>
        <v>0</v>
      </c>
      <c r="F92" s="30">
        <f t="shared" si="27"/>
        <v>0</v>
      </c>
      <c r="G92" s="30">
        <f t="shared" si="28"/>
        <v>0</v>
      </c>
      <c r="H92" s="30">
        <f t="shared" si="29"/>
        <v>0</v>
      </c>
      <c r="I92" s="29"/>
      <c r="K92" s="29"/>
    </row>
    <row r="93" spans="2:11" ht="13.15">
      <c r="B93" s="6" t="str">
        <f t="shared" si="24"/>
        <v>Total</v>
      </c>
      <c r="C93" s="24">
        <f t="shared" ref="C93" si="30">L47</f>
        <v>2074.745161852898</v>
      </c>
      <c r="D93" s="24">
        <f>SUM(D76:D92)</f>
        <v>397.20781451039153</v>
      </c>
      <c r="E93" s="24">
        <f t="shared" ref="E93:H93" si="31">SUM(E76:E92)</f>
        <v>444.14547103273622</v>
      </c>
      <c r="F93" s="24">
        <f t="shared" si="31"/>
        <v>429.16087066837014</v>
      </c>
      <c r="G93" s="24">
        <f t="shared" si="31"/>
        <v>365.53571235157807</v>
      </c>
      <c r="H93" s="24">
        <f t="shared" si="31"/>
        <v>438.69529328982247</v>
      </c>
    </row>
  </sheetData>
  <mergeCells count="22">
    <mergeCell ref="L58:V58"/>
    <mergeCell ref="L59:V59"/>
    <mergeCell ref="L60:V60"/>
    <mergeCell ref="A3:V3"/>
    <mergeCell ref="A49:V49"/>
    <mergeCell ref="L57:V57"/>
    <mergeCell ref="L52:V52"/>
    <mergeCell ref="L53:V53"/>
    <mergeCell ref="L54:V54"/>
    <mergeCell ref="L55:V55"/>
    <mergeCell ref="L56:V56"/>
    <mergeCell ref="A26:AE26"/>
    <mergeCell ref="L69:V69"/>
    <mergeCell ref="L63:V63"/>
    <mergeCell ref="L64:V64"/>
    <mergeCell ref="L65:V65"/>
    <mergeCell ref="A72:AE72"/>
    <mergeCell ref="L61:V61"/>
    <mergeCell ref="L62:V62"/>
    <mergeCell ref="L66:V66"/>
    <mergeCell ref="L67:V67"/>
    <mergeCell ref="L68:V68"/>
  </mergeCells>
  <phoneticPr fontId="44" type="noConversion"/>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AE73C-DCAE-4A5A-A118-0B241CA8FB23}">
  <sheetPr>
    <tabColor rgb="FF98C561"/>
  </sheetPr>
  <dimension ref="A1:AN140"/>
  <sheetViews>
    <sheetView zoomScale="80" zoomScaleNormal="80" workbookViewId="0"/>
  </sheetViews>
  <sheetFormatPr defaultRowHeight="12.75"/>
  <cols>
    <col min="2" max="2" width="32.140625" bestFit="1" customWidth="1"/>
    <col min="3" max="3" width="83.85546875" customWidth="1"/>
    <col min="5" max="5" width="17.7109375" bestFit="1" customWidth="1"/>
  </cols>
  <sheetData>
    <row r="1" spans="1:40" s="209" customFormat="1" ht="32.85" customHeight="1">
      <c r="A1" s="210" t="e">
        <f ca="1" xml:space="preserve"> RIGHT(CELL("filename", A1), LEN(CELL("filename", A1)) - SEARCH("]", CELL("filename", A1)))</f>
        <v>#VALUE!</v>
      </c>
      <c r="B1" s="210"/>
      <c r="C1" s="210"/>
      <c r="D1" s="210"/>
      <c r="E1" s="210"/>
      <c r="F1" s="210"/>
      <c r="G1" s="210"/>
      <c r="H1" s="210"/>
      <c r="I1" s="210"/>
      <c r="J1" s="210"/>
      <c r="K1" s="210"/>
      <c r="L1" s="210"/>
      <c r="M1" s="210"/>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row>
    <row r="2" spans="1:40">
      <c r="C2" t="s">
        <v>2</v>
      </c>
    </row>
    <row r="3" spans="1:40">
      <c r="A3" t="s">
        <v>79</v>
      </c>
      <c r="B3" t="s">
        <v>80</v>
      </c>
      <c r="C3" t="s">
        <v>81</v>
      </c>
      <c r="D3" t="s">
        <v>82</v>
      </c>
      <c r="E3" t="s">
        <v>83</v>
      </c>
      <c r="F3" t="s">
        <v>53</v>
      </c>
      <c r="G3" t="s">
        <v>375</v>
      </c>
      <c r="H3" t="s">
        <v>376</v>
      </c>
      <c r="I3" t="s">
        <v>84</v>
      </c>
      <c r="J3" t="s">
        <v>85</v>
      </c>
      <c r="K3" t="s">
        <v>86</v>
      </c>
      <c r="L3" t="s">
        <v>87</v>
      </c>
      <c r="M3" t="s">
        <v>88</v>
      </c>
    </row>
    <row r="5" spans="1:40">
      <c r="A5" t="s">
        <v>57</v>
      </c>
      <c r="B5" t="str">
        <f>CONCATENATE("C_", $C$2, "_ENH_W_TOT")</f>
        <v>C_PR24CA46_ENH_W_TOT</v>
      </c>
      <c r="C5" t="s">
        <v>377</v>
      </c>
      <c r="D5" t="s">
        <v>60</v>
      </c>
      <c r="E5" t="s">
        <v>54</v>
      </c>
      <c r="I5">
        <f xml:space="preserve"> SUMIFS('Outputs to aggregator'!D$76:D$92, 'Outputs to aggregator'!$B$76:$B$92, $A5)</f>
        <v>183.896864790884</v>
      </c>
      <c r="J5">
        <f xml:space="preserve"> SUMIFS('Outputs to aggregator'!E$76:E$92, 'Outputs to aggregator'!$B$76:$B$92, $A5)</f>
        <v>185.6498649550924</v>
      </c>
      <c r="K5">
        <f xml:space="preserve"> SUMIFS('Outputs to aggregator'!F$76:F$92, 'Outputs to aggregator'!$B$76:$B$92, $A5)</f>
        <v>221.15860065209608</v>
      </c>
      <c r="L5">
        <f xml:space="preserve"> SUMIFS('Outputs to aggregator'!G$76:G$92, 'Outputs to aggregator'!$B$76:$B$92, $A5)</f>
        <v>164.74106357898307</v>
      </c>
      <c r="M5">
        <f xml:space="preserve"> SUMIFS('Outputs to aggregator'!H$76:H$92, 'Outputs to aggregator'!$B$76:$B$92, $A5)</f>
        <v>55.057109879127069</v>
      </c>
    </row>
    <row r="6" spans="1:40">
      <c r="A6" t="s">
        <v>57</v>
      </c>
      <c r="B6" t="str">
        <f>CONCATENATE("C_", $C$2, "_ENH_W_AP")</f>
        <v>C_PR24CA46_ENH_W_AP</v>
      </c>
      <c r="C6" t="s">
        <v>378</v>
      </c>
      <c r="D6" t="s">
        <v>60</v>
      </c>
      <c r="E6" t="s">
        <v>54</v>
      </c>
    </row>
    <row r="7" spans="1:40">
      <c r="A7" t="s">
        <v>57</v>
      </c>
      <c r="B7" t="str">
        <f>CONCATENATE("C_", $C$2, "_ENH_W_TE")</f>
        <v>C_PR24CA46_ENH_W_TE</v>
      </c>
      <c r="C7" t="s">
        <v>379</v>
      </c>
      <c r="D7" t="s">
        <v>60</v>
      </c>
      <c r="E7" t="s">
        <v>54</v>
      </c>
    </row>
    <row r="8" spans="1:40">
      <c r="A8" t="s">
        <v>57</v>
      </c>
      <c r="B8" t="str">
        <f xml:space="preserve"> CONCATENATE("PR24QA_",  $C$2, "_OUT1")</f>
        <v>PR24QA_PR24CA46_OUT1</v>
      </c>
      <c r="C8" t="str">
        <f xml:space="preserve"> CONCATENATE("Date &amp; Time for Model - ", $C$2)</f>
        <v>Date &amp; Time for Model - PR24CA46</v>
      </c>
      <c r="D8" t="s">
        <v>380</v>
      </c>
      <c r="E8" t="s">
        <v>54</v>
      </c>
      <c r="F8" t="str">
        <f t="shared" ref="F8:M8" ca="1" si="0">CONCATENATE("[…]", TEXT(NOW(),"dd/mm/yyy hh:mm:ss"))</f>
        <v>[…]17/12/2024 11:22:11</v>
      </c>
      <c r="G8" t="str">
        <f t="shared" ca="1" si="0"/>
        <v>[…]17/12/2024 11:22:11</v>
      </c>
      <c r="H8" t="str">
        <f t="shared" ca="1" si="0"/>
        <v>[…]17/12/2024 11:22:11</v>
      </c>
      <c r="I8" t="str">
        <f t="shared" ca="1" si="0"/>
        <v>[…]17/12/2024 11:22:11</v>
      </c>
      <c r="J8" t="str">
        <f t="shared" ca="1" si="0"/>
        <v>[…]17/12/2024 11:22:11</v>
      </c>
      <c r="K8" t="str">
        <f t="shared" ca="1" si="0"/>
        <v>[…]17/12/2024 11:22:11</v>
      </c>
      <c r="L8" t="str">
        <f t="shared" ca="1" si="0"/>
        <v>[…]17/12/2024 11:22:11</v>
      </c>
      <c r="M8" t="str">
        <f t="shared" ca="1" si="0"/>
        <v>[…]17/12/2024 11:22:11</v>
      </c>
    </row>
    <row r="9" spans="1:40">
      <c r="A9" t="s">
        <v>57</v>
      </c>
      <c r="B9" t="str">
        <f xml:space="preserve"> CONCATENATE("PR24QA_",  $C$2, "_OUT2")</f>
        <v>PR24QA_PR24CA46_OUT2</v>
      </c>
      <c r="C9" t="str">
        <f xml:space="preserve"> CONCATENATE("Name of Model - ", $C$2)</f>
        <v>Name of Model - PR24CA46</v>
      </c>
      <c r="D9" t="s">
        <v>380</v>
      </c>
      <c r="E9" t="s">
        <v>54</v>
      </c>
      <c r="F9" t="e">
        <f t="shared" ref="F9:M9" ca="1" si="1">MID(CELL("filename"),SEARCH("[",CELL("filename"))+1,SEARCH("]",CELL("filename"))-SEARCH("[",CELL("filename"))-1)</f>
        <v>#VALUE!</v>
      </c>
      <c r="G9" t="e">
        <f t="shared" ca="1" si="1"/>
        <v>#VALUE!</v>
      </c>
      <c r="H9" t="e">
        <f t="shared" ca="1" si="1"/>
        <v>#VALUE!</v>
      </c>
      <c r="I9" t="e">
        <f t="shared" ca="1" si="1"/>
        <v>#VALUE!</v>
      </c>
      <c r="J9" t="e">
        <f t="shared" ca="1" si="1"/>
        <v>#VALUE!</v>
      </c>
      <c r="K9" t="e">
        <f t="shared" ca="1" si="1"/>
        <v>#VALUE!</v>
      </c>
      <c r="L9" t="e">
        <f t="shared" ca="1" si="1"/>
        <v>#VALUE!</v>
      </c>
      <c r="M9" t="e">
        <f t="shared" ca="1" si="1"/>
        <v>#VALUE!</v>
      </c>
    </row>
    <row r="10" spans="1:40">
      <c r="A10" t="s">
        <v>57</v>
      </c>
      <c r="B10" t="str">
        <f xml:space="preserve"> CONCATENATE("PR24QA_",  $C$2, "_OUT3")</f>
        <v>PR24QA_PR24CA46_OUT3</v>
      </c>
      <c r="C10" t="str">
        <f xml:space="preserve"> CONCATENATE("F_Inputs time stamp - ", $C$2)</f>
        <v>F_Inputs time stamp - PR24CA46</v>
      </c>
      <c r="D10" t="s">
        <v>380</v>
      </c>
      <c r="E10" t="s">
        <v>54</v>
      </c>
      <c r="F10" t="str">
        <f>'F_Inputs BP'!$E$2</f>
        <v>Run on 09 Oct 2024 16:53</v>
      </c>
      <c r="G10" t="str">
        <f>'F_Inputs BP'!$E$2</f>
        <v>Run on 09 Oct 2024 16:53</v>
      </c>
      <c r="H10" t="str">
        <f>'F_Inputs BP'!$E$2</f>
        <v>Run on 09 Oct 2024 16:53</v>
      </c>
      <c r="I10" t="str">
        <f>'F_Inputs BP'!$E$2</f>
        <v>Run on 09 Oct 2024 16:53</v>
      </c>
      <c r="J10" t="str">
        <f>'F_Inputs BP'!$E$2</f>
        <v>Run on 09 Oct 2024 16:53</v>
      </c>
      <c r="K10" t="str">
        <f>'F_Inputs BP'!$E$2</f>
        <v>Run on 09 Oct 2024 16:53</v>
      </c>
      <c r="L10" t="str">
        <f>'F_Inputs BP'!$E$2</f>
        <v>Run on 09 Oct 2024 16:53</v>
      </c>
      <c r="M10" t="str">
        <f>'F_Inputs BP'!$E$2</f>
        <v>Run on 09 Oct 2024 16:53</v>
      </c>
    </row>
    <row r="11" spans="1:40">
      <c r="A11" t="s">
        <v>57</v>
      </c>
      <c r="B11" t="str">
        <f xml:space="preserve"> CONCATENATE("PR24QA_",  $C$2, "_OUT4")</f>
        <v>PR24QA_PR24CA46_OUT4</v>
      </c>
      <c r="C11" t="str">
        <f xml:space="preserve"> CONCATENATE("Model override switch for - ", $C$2)</f>
        <v>Model override switch for - PR24CA46</v>
      </c>
      <c r="D11" t="s">
        <v>381</v>
      </c>
      <c r="E11" t="s">
        <v>54</v>
      </c>
      <c r="F11">
        <f>IF(SUM('F_Input Override'!$F$4:$J$20)&gt;0,1,0)</f>
        <v>1</v>
      </c>
      <c r="G11">
        <f>IF(SUM('F_Input Override'!$F$4:$J$20)&gt;0,1,0)</f>
        <v>1</v>
      </c>
      <c r="H11">
        <f>IF(SUM('F_Input Override'!$F$4:$J$20)&gt;0,1,0)</f>
        <v>1</v>
      </c>
      <c r="I11">
        <f>IF(SUM('F_Input Override'!$F$4:$J$20)&gt;0,1,0)</f>
        <v>1</v>
      </c>
      <c r="J11">
        <f>IF(SUM('F_Input Override'!$F$4:$J$20)&gt;0,1,0)</f>
        <v>1</v>
      </c>
      <c r="K11">
        <f>IF(SUM('F_Input Override'!$F$4:$J$20)&gt;0,1,0)</f>
        <v>1</v>
      </c>
      <c r="L11">
        <f>IF(SUM('F_Input Override'!$F$4:$J$20)&gt;0,1,0)</f>
        <v>1</v>
      </c>
      <c r="M11">
        <f>IF(SUM('F_Input Override'!$F$4:$J$20)&gt;0,1,0)</f>
        <v>1</v>
      </c>
    </row>
    <row r="12" spans="1:40">
      <c r="A12" t="s">
        <v>57</v>
      </c>
      <c r="B12" t="str">
        <f>CONCATENATE("C_", $C$2, "_ENH_W_ASSESSED")</f>
        <v>C_PR24CA46_ENH_W_ASSESSED</v>
      </c>
      <c r="C12" t="str">
        <f>CONCATENATE("Total amount assessed - ", MID($C$5,31,200))</f>
        <v>Total amount assessed - Water - Strategic resource options - Totex</v>
      </c>
      <c r="D12" t="s">
        <v>60</v>
      </c>
      <c r="E12" t="s">
        <v>54</v>
      </c>
      <c r="F12">
        <f xml:space="preserve"> SUMIFS(Allowance!$E$10:$E$26, Allowance!$B$10:$B$26, A12)</f>
        <v>746.14400000000012</v>
      </c>
    </row>
    <row r="13" spans="1:40">
      <c r="A13" t="s">
        <v>62</v>
      </c>
      <c r="B13" t="str">
        <f>CONCATENATE("C_", $C$2, "_ENH_W_TOT")</f>
        <v>C_PR24CA46_ENH_W_TOT</v>
      </c>
      <c r="C13" t="str">
        <f xml:space="preserve"> $C$5</f>
        <v>Total enhancement allowance - Water - Strategic resource options - Totex</v>
      </c>
      <c r="D13" t="s">
        <v>60</v>
      </c>
      <c r="E13" t="s">
        <v>54</v>
      </c>
      <c r="I13">
        <f xml:space="preserve"> SUMIFS('Outputs to aggregator'!D$76:D$92, 'Outputs to aggregator'!$B$76:$B$92, $A13)</f>
        <v>0</v>
      </c>
      <c r="J13">
        <f xml:space="preserve"> SUMIFS('Outputs to aggregator'!E$76:E$92, 'Outputs to aggregator'!$B$76:$B$92, $A13)</f>
        <v>0</v>
      </c>
      <c r="K13">
        <f xml:space="preserve"> SUMIFS('Outputs to aggregator'!F$76:F$92, 'Outputs to aggregator'!$B$76:$B$92, $A13)</f>
        <v>0</v>
      </c>
      <c r="L13">
        <f xml:space="preserve"> SUMIFS('Outputs to aggregator'!G$76:G$92, 'Outputs to aggregator'!$B$76:$B$92, $A13)</f>
        <v>0</v>
      </c>
      <c r="M13">
        <f xml:space="preserve"> SUMIFS('Outputs to aggregator'!H$76:H$92, 'Outputs to aggregator'!$B$76:$B$92, $A13)</f>
        <v>0</v>
      </c>
    </row>
    <row r="14" spans="1:40">
      <c r="A14" t="s">
        <v>62</v>
      </c>
      <c r="B14" t="str">
        <f>CONCATENATE("C_", $C$2, "_ENH_W_AP")</f>
        <v>C_PR24CA46_ENH_W_AP</v>
      </c>
      <c r="C14" t="str">
        <f xml:space="preserve"> $C$6</f>
        <v>Total enhancement allowance - Water - Strategic resource options - Accelerated programme</v>
      </c>
      <c r="D14" t="s">
        <v>60</v>
      </c>
      <c r="E14" t="s">
        <v>54</v>
      </c>
    </row>
    <row r="15" spans="1:40">
      <c r="A15" t="s">
        <v>62</v>
      </c>
      <c r="B15" t="str">
        <f>CONCATENATE("C_", $C$2, "_ENH_W_TE")</f>
        <v>C_PR24CA46_ENH_W_TE</v>
      </c>
      <c r="C15" t="str">
        <f xml:space="preserve"> $C$7</f>
        <v>Total enhancement allowance - Water - Strategic resource options - Transition allowance</v>
      </c>
      <c r="D15" t="s">
        <v>60</v>
      </c>
      <c r="E15" t="s">
        <v>54</v>
      </c>
    </row>
    <row r="16" spans="1:40">
      <c r="A16" t="s">
        <v>62</v>
      </c>
      <c r="B16" t="str">
        <f xml:space="preserve"> CONCATENATE("PR24QA_",  $C$2, "_OUT1")</f>
        <v>PR24QA_PR24CA46_OUT1</v>
      </c>
      <c r="C16" t="str">
        <f xml:space="preserve"> CONCATENATE("Date &amp; Time for Model - ", $C$2)</f>
        <v>Date &amp; Time for Model - PR24CA46</v>
      </c>
      <c r="D16" t="s">
        <v>380</v>
      </c>
      <c r="E16" t="s">
        <v>54</v>
      </c>
      <c r="F16" t="str">
        <f t="shared" ref="F16:M16" ca="1" si="2">CONCATENATE("[…]", TEXT(NOW(),"dd/mm/yyy hh:mm:ss"))</f>
        <v>[…]17/12/2024 11:22:11</v>
      </c>
      <c r="G16" t="str">
        <f t="shared" ca="1" si="2"/>
        <v>[…]17/12/2024 11:22:11</v>
      </c>
      <c r="H16" t="str">
        <f t="shared" ca="1" si="2"/>
        <v>[…]17/12/2024 11:22:11</v>
      </c>
      <c r="I16" t="str">
        <f t="shared" ca="1" si="2"/>
        <v>[…]17/12/2024 11:22:11</v>
      </c>
      <c r="J16" t="str">
        <f t="shared" ca="1" si="2"/>
        <v>[…]17/12/2024 11:22:11</v>
      </c>
      <c r="K16" t="str">
        <f t="shared" ca="1" si="2"/>
        <v>[…]17/12/2024 11:22:11</v>
      </c>
      <c r="L16" t="str">
        <f t="shared" ca="1" si="2"/>
        <v>[…]17/12/2024 11:22:11</v>
      </c>
      <c r="M16" t="str">
        <f t="shared" ca="1" si="2"/>
        <v>[…]17/12/2024 11:22:11</v>
      </c>
    </row>
    <row r="17" spans="1:13">
      <c r="A17" t="s">
        <v>62</v>
      </c>
      <c r="B17" t="str">
        <f xml:space="preserve"> CONCATENATE("PR24QA_",  $C$2, "_OUT2")</f>
        <v>PR24QA_PR24CA46_OUT2</v>
      </c>
      <c r="C17" t="str">
        <f xml:space="preserve"> CONCATENATE("Name of Model - ", $C$2)</f>
        <v>Name of Model - PR24CA46</v>
      </c>
      <c r="D17" t="s">
        <v>380</v>
      </c>
      <c r="E17" t="s">
        <v>54</v>
      </c>
      <c r="F17" t="e">
        <f t="shared" ref="F17:M17" ca="1" si="3">MID(CELL("filename"),SEARCH("[",CELL("filename"))+1,SEARCH("]",CELL("filename"))-SEARCH("[",CELL("filename"))-1)</f>
        <v>#VALUE!</v>
      </c>
      <c r="G17" t="e">
        <f t="shared" ca="1" si="3"/>
        <v>#VALUE!</v>
      </c>
      <c r="H17" t="e">
        <f t="shared" ca="1" si="3"/>
        <v>#VALUE!</v>
      </c>
      <c r="I17" t="e">
        <f t="shared" ca="1" si="3"/>
        <v>#VALUE!</v>
      </c>
      <c r="J17" t="e">
        <f t="shared" ca="1" si="3"/>
        <v>#VALUE!</v>
      </c>
      <c r="K17" t="e">
        <f t="shared" ca="1" si="3"/>
        <v>#VALUE!</v>
      </c>
      <c r="L17" t="e">
        <f t="shared" ca="1" si="3"/>
        <v>#VALUE!</v>
      </c>
      <c r="M17" t="e">
        <f t="shared" ca="1" si="3"/>
        <v>#VALUE!</v>
      </c>
    </row>
    <row r="18" spans="1:13">
      <c r="A18" t="s">
        <v>62</v>
      </c>
      <c r="B18" t="str">
        <f xml:space="preserve"> CONCATENATE("PR24QA_",  $C$2, "_OUT3")</f>
        <v>PR24QA_PR24CA46_OUT3</v>
      </c>
      <c r="C18" t="str">
        <f xml:space="preserve"> CONCATENATE("F_Inputs time stamp - ", $C$2)</f>
        <v>F_Inputs time stamp - PR24CA46</v>
      </c>
      <c r="D18" t="s">
        <v>380</v>
      </c>
      <c r="E18" t="s">
        <v>54</v>
      </c>
      <c r="F18" t="str">
        <f>'F_Inputs BP'!$E$2</f>
        <v>Run on 09 Oct 2024 16:53</v>
      </c>
      <c r="G18" t="str">
        <f>'F_Inputs BP'!$E$2</f>
        <v>Run on 09 Oct 2024 16:53</v>
      </c>
      <c r="H18" t="str">
        <f>'F_Inputs BP'!$E$2</f>
        <v>Run on 09 Oct 2024 16:53</v>
      </c>
      <c r="I18" t="str">
        <f>'F_Inputs BP'!$E$2</f>
        <v>Run on 09 Oct 2024 16:53</v>
      </c>
      <c r="J18" t="str">
        <f>'F_Inputs BP'!$E$2</f>
        <v>Run on 09 Oct 2024 16:53</v>
      </c>
      <c r="K18" t="str">
        <f>'F_Inputs BP'!$E$2</f>
        <v>Run on 09 Oct 2024 16:53</v>
      </c>
      <c r="L18" t="str">
        <f>'F_Inputs BP'!$E$2</f>
        <v>Run on 09 Oct 2024 16:53</v>
      </c>
      <c r="M18" t="str">
        <f>'F_Inputs BP'!$E$2</f>
        <v>Run on 09 Oct 2024 16:53</v>
      </c>
    </row>
    <row r="19" spans="1:13">
      <c r="A19" t="s">
        <v>62</v>
      </c>
      <c r="B19" t="str">
        <f xml:space="preserve"> CONCATENATE("PR24QA_",  $C$2, "_OUT4")</f>
        <v>PR24QA_PR24CA46_OUT4</v>
      </c>
      <c r="C19" t="str">
        <f xml:space="preserve"> CONCATENATE("Model override switch for - ", $C$2)</f>
        <v>Model override switch for - PR24CA46</v>
      </c>
      <c r="D19" t="s">
        <v>381</v>
      </c>
      <c r="E19" t="s">
        <v>54</v>
      </c>
      <c r="F19">
        <f>IF(SUM('F_Input Override'!$F$4:$J$20)&gt;0,1,0)</f>
        <v>1</v>
      </c>
      <c r="G19">
        <f>IF(SUM('F_Input Override'!$F$4:$J$20)&gt;0,1,0)</f>
        <v>1</v>
      </c>
      <c r="H19">
        <f>IF(SUM('F_Input Override'!$F$4:$J$20)&gt;0,1,0)</f>
        <v>1</v>
      </c>
      <c r="I19">
        <f>IF(SUM('F_Input Override'!$F$4:$J$20)&gt;0,1,0)</f>
        <v>1</v>
      </c>
      <c r="J19">
        <f>IF(SUM('F_Input Override'!$F$4:$J$20)&gt;0,1,0)</f>
        <v>1</v>
      </c>
      <c r="K19">
        <f>IF(SUM('F_Input Override'!$F$4:$J$20)&gt;0,1,0)</f>
        <v>1</v>
      </c>
      <c r="L19">
        <f>IF(SUM('F_Input Override'!$F$4:$J$20)&gt;0,1,0)</f>
        <v>1</v>
      </c>
      <c r="M19">
        <f>IF(SUM('F_Input Override'!$F$4:$J$20)&gt;0,1,0)</f>
        <v>1</v>
      </c>
    </row>
    <row r="20" spans="1:13">
      <c r="A20" t="s">
        <v>62</v>
      </c>
      <c r="B20" t="str">
        <f>CONCATENATE("C_", $C$2, "_ENH_W_ASSESSED")</f>
        <v>C_PR24CA46_ENH_W_ASSESSED</v>
      </c>
      <c r="C20" t="str">
        <f>CONCATENATE("Total amount assessed - ", MID($C$5,31,200))</f>
        <v>Total amount assessed - Water - Strategic resource options - Totex</v>
      </c>
      <c r="D20" t="s">
        <v>60</v>
      </c>
      <c r="E20" t="s">
        <v>54</v>
      </c>
      <c r="F20">
        <f xml:space="preserve"> SUMIFS(Allowance!$E$10:$E$26, Allowance!$B$10:$B$26, A20)</f>
        <v>0</v>
      </c>
    </row>
    <row r="21" spans="1:13">
      <c r="A21" t="s">
        <v>63</v>
      </c>
      <c r="B21" t="str">
        <f>CONCATENATE("C_", $C$2, "_ENH_W_TOT")</f>
        <v>C_PR24CA46_ENH_W_TOT</v>
      </c>
      <c r="C21" t="str">
        <f xml:space="preserve"> $C$5</f>
        <v>Total enhancement allowance - Water - Strategic resource options - Totex</v>
      </c>
      <c r="D21" t="s">
        <v>60</v>
      </c>
      <c r="E21" t="s">
        <v>54</v>
      </c>
      <c r="I21">
        <f xml:space="preserve"> SUMIFS('Outputs to aggregator'!D$76:D$92, 'Outputs to aggregator'!$B$76:$B$92, $A21)</f>
        <v>3.4133993354664036</v>
      </c>
      <c r="J21">
        <f xml:space="preserve"> SUMIFS('Outputs to aggregator'!E$76:E$92, 'Outputs to aggregator'!$B$76:$B$92, $A21)</f>
        <v>35.846681442284023</v>
      </c>
      <c r="K21">
        <f xml:space="preserve"> SUMIFS('Outputs to aggregator'!F$76:F$92, 'Outputs to aggregator'!$B$76:$B$92, $A21)</f>
        <v>2.8145573467880873</v>
      </c>
      <c r="L21">
        <f xml:space="preserve"> SUMIFS('Outputs to aggregator'!G$76:G$92, 'Outputs to aggregator'!$B$76:$B$92, $A21)</f>
        <v>3.0540941422594146</v>
      </c>
      <c r="M21">
        <f xml:space="preserve"> SUMIFS('Outputs to aggregator'!H$76:H$92, 'Outputs to aggregator'!$B$76:$B$92, $A21)</f>
        <v>3.5331677332020672</v>
      </c>
    </row>
    <row r="22" spans="1:13">
      <c r="A22" t="s">
        <v>63</v>
      </c>
      <c r="B22" t="str">
        <f>CONCATENATE("C_", $C$2, "_ENH_W_AP")</f>
        <v>C_PR24CA46_ENH_W_AP</v>
      </c>
      <c r="C22" t="str">
        <f xml:space="preserve"> $C$6</f>
        <v>Total enhancement allowance - Water - Strategic resource options - Accelerated programme</v>
      </c>
      <c r="D22" t="s">
        <v>60</v>
      </c>
      <c r="E22" t="s">
        <v>54</v>
      </c>
    </row>
    <row r="23" spans="1:13">
      <c r="A23" t="s">
        <v>63</v>
      </c>
      <c r="B23" t="str">
        <f>CONCATENATE("C_", $C$2, "_ENH_W_TE")</f>
        <v>C_PR24CA46_ENH_W_TE</v>
      </c>
      <c r="C23" t="str">
        <f xml:space="preserve"> $C$7</f>
        <v>Total enhancement allowance - Water - Strategic resource options - Transition allowance</v>
      </c>
      <c r="D23" t="s">
        <v>60</v>
      </c>
      <c r="E23" t="s">
        <v>54</v>
      </c>
    </row>
    <row r="24" spans="1:13">
      <c r="A24" t="s">
        <v>63</v>
      </c>
      <c r="B24" t="str">
        <f xml:space="preserve"> CONCATENATE("PR24QA_",  $C$2, "_OUT1")</f>
        <v>PR24QA_PR24CA46_OUT1</v>
      </c>
      <c r="C24" t="str">
        <f xml:space="preserve"> CONCATENATE("Date &amp; Time for Model - ", $C$2)</f>
        <v>Date &amp; Time for Model - PR24CA46</v>
      </c>
      <c r="D24" t="s">
        <v>380</v>
      </c>
      <c r="E24" t="s">
        <v>54</v>
      </c>
      <c r="F24" t="str">
        <f t="shared" ref="F24:M24" ca="1" si="4">CONCATENATE("[…]", TEXT(NOW(),"dd/mm/yyy hh:mm:ss"))</f>
        <v>[…]17/12/2024 11:22:11</v>
      </c>
      <c r="G24" t="str">
        <f t="shared" ca="1" si="4"/>
        <v>[…]17/12/2024 11:22:11</v>
      </c>
      <c r="H24" t="str">
        <f t="shared" ca="1" si="4"/>
        <v>[…]17/12/2024 11:22:11</v>
      </c>
      <c r="I24" t="str">
        <f t="shared" ca="1" si="4"/>
        <v>[…]17/12/2024 11:22:11</v>
      </c>
      <c r="J24" t="str">
        <f t="shared" ca="1" si="4"/>
        <v>[…]17/12/2024 11:22:11</v>
      </c>
      <c r="K24" t="str">
        <f t="shared" ca="1" si="4"/>
        <v>[…]17/12/2024 11:22:11</v>
      </c>
      <c r="L24" t="str">
        <f t="shared" ca="1" si="4"/>
        <v>[…]17/12/2024 11:22:11</v>
      </c>
      <c r="M24" t="str">
        <f t="shared" ca="1" si="4"/>
        <v>[…]17/12/2024 11:22:11</v>
      </c>
    </row>
    <row r="25" spans="1:13">
      <c r="A25" t="s">
        <v>63</v>
      </c>
      <c r="B25" t="str">
        <f xml:space="preserve"> CONCATENATE("PR24QA_",  $C$2, "_OUT2")</f>
        <v>PR24QA_PR24CA46_OUT2</v>
      </c>
      <c r="C25" t="str">
        <f xml:space="preserve"> CONCATENATE("Name of Model - ", $C$2)</f>
        <v>Name of Model - PR24CA46</v>
      </c>
      <c r="D25" t="s">
        <v>380</v>
      </c>
      <c r="E25" t="s">
        <v>54</v>
      </c>
      <c r="F25" t="e">
        <f t="shared" ref="F25:M25" ca="1" si="5">MID(CELL("filename"),SEARCH("[",CELL("filename"))+1,SEARCH("]",CELL("filename"))-SEARCH("[",CELL("filename"))-1)</f>
        <v>#VALUE!</v>
      </c>
      <c r="G25" t="e">
        <f t="shared" ca="1" si="5"/>
        <v>#VALUE!</v>
      </c>
      <c r="H25" t="e">
        <f t="shared" ca="1" si="5"/>
        <v>#VALUE!</v>
      </c>
      <c r="I25" t="e">
        <f t="shared" ca="1" si="5"/>
        <v>#VALUE!</v>
      </c>
      <c r="J25" t="e">
        <f t="shared" ca="1" si="5"/>
        <v>#VALUE!</v>
      </c>
      <c r="K25" t="e">
        <f t="shared" ca="1" si="5"/>
        <v>#VALUE!</v>
      </c>
      <c r="L25" t="e">
        <f t="shared" ca="1" si="5"/>
        <v>#VALUE!</v>
      </c>
      <c r="M25" t="e">
        <f t="shared" ca="1" si="5"/>
        <v>#VALUE!</v>
      </c>
    </row>
    <row r="26" spans="1:13">
      <c r="A26" t="s">
        <v>63</v>
      </c>
      <c r="B26" t="str">
        <f xml:space="preserve"> CONCATENATE("PR24QA_",  $C$2, "_OUT3")</f>
        <v>PR24QA_PR24CA46_OUT3</v>
      </c>
      <c r="C26" t="str">
        <f xml:space="preserve"> CONCATENATE("F_Inputs time stamp - ", $C$2)</f>
        <v>F_Inputs time stamp - PR24CA46</v>
      </c>
      <c r="D26" t="s">
        <v>380</v>
      </c>
      <c r="E26" t="s">
        <v>54</v>
      </c>
      <c r="F26" t="str">
        <f>'F_Inputs BP'!$E$2</f>
        <v>Run on 09 Oct 2024 16:53</v>
      </c>
      <c r="G26" t="str">
        <f>'F_Inputs BP'!$E$2</f>
        <v>Run on 09 Oct 2024 16:53</v>
      </c>
      <c r="H26" t="str">
        <f>'F_Inputs BP'!$E$2</f>
        <v>Run on 09 Oct 2024 16:53</v>
      </c>
      <c r="I26" t="str">
        <f>'F_Inputs BP'!$E$2</f>
        <v>Run on 09 Oct 2024 16:53</v>
      </c>
      <c r="J26" t="str">
        <f>'F_Inputs BP'!$E$2</f>
        <v>Run on 09 Oct 2024 16:53</v>
      </c>
      <c r="K26" t="str">
        <f>'F_Inputs BP'!$E$2</f>
        <v>Run on 09 Oct 2024 16:53</v>
      </c>
      <c r="L26" t="str">
        <f>'F_Inputs BP'!$E$2</f>
        <v>Run on 09 Oct 2024 16:53</v>
      </c>
      <c r="M26" t="str">
        <f>'F_Inputs BP'!$E$2</f>
        <v>Run on 09 Oct 2024 16:53</v>
      </c>
    </row>
    <row r="27" spans="1:13">
      <c r="A27" t="s">
        <v>63</v>
      </c>
      <c r="B27" t="str">
        <f xml:space="preserve"> CONCATENATE("PR24QA_",  $C$2, "_OUT4")</f>
        <v>PR24QA_PR24CA46_OUT4</v>
      </c>
      <c r="C27" t="str">
        <f xml:space="preserve"> CONCATENATE("Model override switch for - ", $C$2)</f>
        <v>Model override switch for - PR24CA46</v>
      </c>
      <c r="D27" t="s">
        <v>381</v>
      </c>
      <c r="E27" t="s">
        <v>54</v>
      </c>
      <c r="F27">
        <f>IF(SUM('F_Input Override'!$F$4:$J$20)&gt;0,1,0)</f>
        <v>1</v>
      </c>
      <c r="G27">
        <f>IF(SUM('F_Input Override'!$F$4:$J$20)&gt;0,1,0)</f>
        <v>1</v>
      </c>
      <c r="H27">
        <f>IF(SUM('F_Input Override'!$F$4:$J$20)&gt;0,1,0)</f>
        <v>1</v>
      </c>
      <c r="I27">
        <f>IF(SUM('F_Input Override'!$F$4:$J$20)&gt;0,1,0)</f>
        <v>1</v>
      </c>
      <c r="J27">
        <f>IF(SUM('F_Input Override'!$F$4:$J$20)&gt;0,1,0)</f>
        <v>1</v>
      </c>
      <c r="K27">
        <f>IF(SUM('F_Input Override'!$F$4:$J$20)&gt;0,1,0)</f>
        <v>1</v>
      </c>
      <c r="L27">
        <f>IF(SUM('F_Input Override'!$F$4:$J$20)&gt;0,1,0)</f>
        <v>1</v>
      </c>
      <c r="M27">
        <f>IF(SUM('F_Input Override'!$F$4:$J$20)&gt;0,1,0)</f>
        <v>1</v>
      </c>
    </row>
    <row r="28" spans="1:13">
      <c r="A28" t="s">
        <v>63</v>
      </c>
      <c r="B28" t="str">
        <f>CONCATENATE("C_", $C$2, "_ENH_W_ASSESSED")</f>
        <v>C_PR24CA46_ENH_W_ASSESSED</v>
      </c>
      <c r="C28" t="str">
        <f>CONCATENATE("Total amount assessed - ", MID($C$5,31,200))</f>
        <v>Total amount assessed - Water - Strategic resource options - Totex</v>
      </c>
      <c r="D28" t="s">
        <v>60</v>
      </c>
      <c r="E28" t="s">
        <v>54</v>
      </c>
      <c r="F28">
        <f xml:space="preserve"> SUMIFS(Allowance!$E$10:$E$26, Allowance!$B$10:$B$26, A28)</f>
        <v>8.1259999999999994</v>
      </c>
    </row>
    <row r="29" spans="1:13">
      <c r="A29" t="s">
        <v>68</v>
      </c>
      <c r="B29" t="str">
        <f>CONCATENATE("C_", $C$2, "_ENH_W_TOT")</f>
        <v>C_PR24CA46_ENH_W_TOT</v>
      </c>
      <c r="C29" t="str">
        <f xml:space="preserve"> $C$5</f>
        <v>Total enhancement allowance - Water - Strategic resource options - Totex</v>
      </c>
      <c r="D29" t="s">
        <v>60</v>
      </c>
      <c r="E29" t="s">
        <v>54</v>
      </c>
      <c r="I29">
        <f xml:space="preserve"> SUMIFS('Outputs to aggregator'!D$76:D$92, 'Outputs to aggregator'!$B$76:$B$92, $A29)</f>
        <v>7.5201178322505262</v>
      </c>
      <c r="J29">
        <f xml:space="preserve"> SUMIFS('Outputs to aggregator'!E$76:E$92, 'Outputs to aggregator'!$B$76:$B$92, $A29)</f>
        <v>6.671955661700383</v>
      </c>
      <c r="K29">
        <f xml:space="preserve"> SUMIFS('Outputs to aggregator'!F$76:F$92, 'Outputs to aggregator'!$B$76:$B$92, $A29)</f>
        <v>5.9439694324343426</v>
      </c>
      <c r="L29">
        <f xml:space="preserve"> SUMIFS('Outputs to aggregator'!G$76:G$92, 'Outputs to aggregator'!$B$76:$B$92, $A29)</f>
        <v>5.5642576227902225</v>
      </c>
      <c r="M29">
        <f xml:space="preserve"> SUMIFS('Outputs to aggregator'!H$76:H$92, 'Outputs to aggregator'!$B$76:$B$92, $A29)</f>
        <v>6.7311120428695546</v>
      </c>
    </row>
    <row r="30" spans="1:13">
      <c r="A30" t="s">
        <v>68</v>
      </c>
      <c r="B30" t="str">
        <f>CONCATENATE("C_", $C$2, "_ENH_W_AP")</f>
        <v>C_PR24CA46_ENH_W_AP</v>
      </c>
      <c r="C30" t="str">
        <f xml:space="preserve"> $C$6</f>
        <v>Total enhancement allowance - Water - Strategic resource options - Accelerated programme</v>
      </c>
      <c r="D30" t="s">
        <v>60</v>
      </c>
      <c r="E30" t="s">
        <v>54</v>
      </c>
    </row>
    <row r="31" spans="1:13">
      <c r="A31" t="s">
        <v>68</v>
      </c>
      <c r="B31" t="str">
        <f>CONCATENATE("C_", $C$2, "_ENH_W_TE")</f>
        <v>C_PR24CA46_ENH_W_TE</v>
      </c>
      <c r="C31" t="str">
        <f xml:space="preserve"> $C$7</f>
        <v>Total enhancement allowance - Water - Strategic resource options - Transition allowance</v>
      </c>
      <c r="D31" t="s">
        <v>60</v>
      </c>
      <c r="E31" t="s">
        <v>54</v>
      </c>
    </row>
    <row r="32" spans="1:13">
      <c r="A32" t="s">
        <v>68</v>
      </c>
      <c r="B32" t="str">
        <f xml:space="preserve"> CONCATENATE("PR24QA_",  $C$2, "_OUT1")</f>
        <v>PR24QA_PR24CA46_OUT1</v>
      </c>
      <c r="C32" t="str">
        <f xml:space="preserve"> CONCATENATE("Date &amp; Time for Model - ", $C$2)</f>
        <v>Date &amp; Time for Model - PR24CA46</v>
      </c>
      <c r="D32" t="s">
        <v>380</v>
      </c>
      <c r="E32" t="s">
        <v>54</v>
      </c>
      <c r="F32" t="str">
        <f t="shared" ref="F32:M32" ca="1" si="6">CONCATENATE("[…]", TEXT(NOW(),"dd/mm/yyy hh:mm:ss"))</f>
        <v>[…]17/12/2024 11:22:11</v>
      </c>
      <c r="G32" t="str">
        <f t="shared" ca="1" si="6"/>
        <v>[…]17/12/2024 11:22:11</v>
      </c>
      <c r="H32" t="str">
        <f t="shared" ca="1" si="6"/>
        <v>[…]17/12/2024 11:22:11</v>
      </c>
      <c r="I32" t="str">
        <f t="shared" ca="1" si="6"/>
        <v>[…]17/12/2024 11:22:11</v>
      </c>
      <c r="J32" t="str">
        <f t="shared" ca="1" si="6"/>
        <v>[…]17/12/2024 11:22:11</v>
      </c>
      <c r="K32" t="str">
        <f t="shared" ca="1" si="6"/>
        <v>[…]17/12/2024 11:22:11</v>
      </c>
      <c r="L32" t="str">
        <f t="shared" ca="1" si="6"/>
        <v>[…]17/12/2024 11:22:11</v>
      </c>
      <c r="M32" t="str">
        <f t="shared" ca="1" si="6"/>
        <v>[…]17/12/2024 11:22:11</v>
      </c>
    </row>
    <row r="33" spans="1:13">
      <c r="A33" t="s">
        <v>68</v>
      </c>
      <c r="B33" t="str">
        <f xml:space="preserve"> CONCATENATE("PR24QA_",  $C$2, "_OUT2")</f>
        <v>PR24QA_PR24CA46_OUT2</v>
      </c>
      <c r="C33" t="str">
        <f xml:space="preserve"> CONCATENATE("Name of Model - ", $C$2)</f>
        <v>Name of Model - PR24CA46</v>
      </c>
      <c r="D33" t="s">
        <v>380</v>
      </c>
      <c r="E33" t="s">
        <v>54</v>
      </c>
      <c r="F33" t="e">
        <f t="shared" ref="F33:M33" ca="1" si="7">MID(CELL("filename"),SEARCH("[",CELL("filename"))+1,SEARCH("]",CELL("filename"))-SEARCH("[",CELL("filename"))-1)</f>
        <v>#VALUE!</v>
      </c>
      <c r="G33" t="e">
        <f t="shared" ca="1" si="7"/>
        <v>#VALUE!</v>
      </c>
      <c r="H33" t="e">
        <f t="shared" ca="1" si="7"/>
        <v>#VALUE!</v>
      </c>
      <c r="I33" t="e">
        <f t="shared" ca="1" si="7"/>
        <v>#VALUE!</v>
      </c>
      <c r="J33" t="e">
        <f t="shared" ca="1" si="7"/>
        <v>#VALUE!</v>
      </c>
      <c r="K33" t="e">
        <f t="shared" ca="1" si="7"/>
        <v>#VALUE!</v>
      </c>
      <c r="L33" t="e">
        <f t="shared" ca="1" si="7"/>
        <v>#VALUE!</v>
      </c>
      <c r="M33" t="e">
        <f t="shared" ca="1" si="7"/>
        <v>#VALUE!</v>
      </c>
    </row>
    <row r="34" spans="1:13">
      <c r="A34" t="s">
        <v>68</v>
      </c>
      <c r="B34" t="str">
        <f xml:space="preserve"> CONCATENATE("PR24QA_",  $C$2, "_OUT3")</f>
        <v>PR24QA_PR24CA46_OUT3</v>
      </c>
      <c r="C34" t="str">
        <f xml:space="preserve"> CONCATENATE("F_Inputs time stamp - ", $C$2)</f>
        <v>F_Inputs time stamp - PR24CA46</v>
      </c>
      <c r="D34" t="s">
        <v>380</v>
      </c>
      <c r="E34" t="s">
        <v>54</v>
      </c>
      <c r="F34" t="str">
        <f>'F_Inputs BP'!$E$2</f>
        <v>Run on 09 Oct 2024 16:53</v>
      </c>
      <c r="G34" t="str">
        <f>'F_Inputs BP'!$E$2</f>
        <v>Run on 09 Oct 2024 16:53</v>
      </c>
      <c r="H34" t="str">
        <f>'F_Inputs BP'!$E$2</f>
        <v>Run on 09 Oct 2024 16:53</v>
      </c>
      <c r="I34" t="str">
        <f>'F_Inputs BP'!$E$2</f>
        <v>Run on 09 Oct 2024 16:53</v>
      </c>
      <c r="J34" t="str">
        <f>'F_Inputs BP'!$E$2</f>
        <v>Run on 09 Oct 2024 16:53</v>
      </c>
      <c r="K34" t="str">
        <f>'F_Inputs BP'!$E$2</f>
        <v>Run on 09 Oct 2024 16:53</v>
      </c>
      <c r="L34" t="str">
        <f>'F_Inputs BP'!$E$2</f>
        <v>Run on 09 Oct 2024 16:53</v>
      </c>
      <c r="M34" t="str">
        <f>'F_Inputs BP'!$E$2</f>
        <v>Run on 09 Oct 2024 16:53</v>
      </c>
    </row>
    <row r="35" spans="1:13">
      <c r="A35" t="s">
        <v>68</v>
      </c>
      <c r="B35" t="str">
        <f xml:space="preserve"> CONCATENATE("PR24QA_",  $C$2, "_OUT4")</f>
        <v>PR24QA_PR24CA46_OUT4</v>
      </c>
      <c r="C35" t="str">
        <f xml:space="preserve"> CONCATENATE("Model override switch for - ", $C$2)</f>
        <v>Model override switch for - PR24CA46</v>
      </c>
      <c r="D35" t="s">
        <v>381</v>
      </c>
      <c r="E35" t="s">
        <v>54</v>
      </c>
      <c r="F35">
        <f>IF(SUM('F_Input Override'!$F$4:$J$20)&gt;0,1,0)</f>
        <v>1</v>
      </c>
      <c r="G35">
        <f>IF(SUM('F_Input Override'!$F$4:$J$20)&gt;0,1,0)</f>
        <v>1</v>
      </c>
      <c r="H35">
        <f>IF(SUM('F_Input Override'!$F$4:$J$20)&gt;0,1,0)</f>
        <v>1</v>
      </c>
      <c r="I35">
        <f>IF(SUM('F_Input Override'!$F$4:$J$20)&gt;0,1,0)</f>
        <v>1</v>
      </c>
      <c r="J35">
        <f>IF(SUM('F_Input Override'!$F$4:$J$20)&gt;0,1,0)</f>
        <v>1</v>
      </c>
      <c r="K35">
        <f>IF(SUM('F_Input Override'!$F$4:$J$20)&gt;0,1,0)</f>
        <v>1</v>
      </c>
      <c r="L35">
        <f>IF(SUM('F_Input Override'!$F$4:$J$20)&gt;0,1,0)</f>
        <v>1</v>
      </c>
      <c r="M35">
        <f>IF(SUM('F_Input Override'!$F$4:$J$20)&gt;0,1,0)</f>
        <v>1</v>
      </c>
    </row>
    <row r="36" spans="1:13">
      <c r="A36" t="s">
        <v>68</v>
      </c>
      <c r="B36" t="str">
        <f>CONCATENATE("C_", $C$2, "_ENH_W_ASSESSED")</f>
        <v>C_PR24CA46_ENH_W_ASSESSED</v>
      </c>
      <c r="C36" t="str">
        <f>CONCATENATE("Total amount assessed - ", MID($C$5,31,200))</f>
        <v>Total amount assessed - Water - Strategic resource options - Totex</v>
      </c>
      <c r="D36" t="s">
        <v>60</v>
      </c>
      <c r="E36" t="s">
        <v>54</v>
      </c>
      <c r="F36">
        <f xml:space="preserve"> SUMIFS(Allowance!$E$10:$E$26, Allowance!$B$10:$B$26, A36)</f>
        <v>41.308101895097998</v>
      </c>
    </row>
    <row r="37" spans="1:13">
      <c r="A37" t="s">
        <v>66</v>
      </c>
      <c r="B37" t="str">
        <f>CONCATENATE("C_", $C$2, "_ENH_W_TOT")</f>
        <v>C_PR24CA46_ENH_W_TOT</v>
      </c>
      <c r="C37" t="str">
        <f xml:space="preserve"> $C$5</f>
        <v>Total enhancement allowance - Water - Strategic resource options - Totex</v>
      </c>
      <c r="D37" t="s">
        <v>60</v>
      </c>
      <c r="E37" t="s">
        <v>54</v>
      </c>
      <c r="I37">
        <f xml:space="preserve"> SUMIFS('Outputs to aggregator'!D$76:D$92, 'Outputs to aggregator'!$B$76:$B$92, $A37)</f>
        <v>64.302614945269298</v>
      </c>
      <c r="J37">
        <f xml:space="preserve"> SUMIFS('Outputs to aggregator'!E$76:E$92, 'Outputs to aggregator'!$B$76:$B$92, $A37)</f>
        <v>61.813597374850836</v>
      </c>
      <c r="K37">
        <f xml:space="preserve"> SUMIFS('Outputs to aggregator'!F$76:F$92, 'Outputs to aggregator'!$B$76:$B$92, $A37)</f>
        <v>58.941069323704376</v>
      </c>
      <c r="L37">
        <f xml:space="preserve"> SUMIFS('Outputs to aggregator'!G$76:G$92, 'Outputs to aggregator'!$B$76:$B$92, $A37)</f>
        <v>31.555656960224674</v>
      </c>
      <c r="M37">
        <f xml:space="preserve"> SUMIFS('Outputs to aggregator'!H$76:H$92, 'Outputs to aggregator'!$B$76:$B$92, $A37)</f>
        <v>26.742082169681932</v>
      </c>
    </row>
    <row r="38" spans="1:13">
      <c r="A38" t="s">
        <v>66</v>
      </c>
      <c r="B38" t="str">
        <f>CONCATENATE("C_", $C$2, "_ENH_W_AP")</f>
        <v>C_PR24CA46_ENH_W_AP</v>
      </c>
      <c r="C38" t="str">
        <f xml:space="preserve"> $C$6</f>
        <v>Total enhancement allowance - Water - Strategic resource options - Accelerated programme</v>
      </c>
      <c r="D38" t="s">
        <v>60</v>
      </c>
      <c r="E38" t="s">
        <v>54</v>
      </c>
    </row>
    <row r="39" spans="1:13">
      <c r="A39" t="s">
        <v>66</v>
      </c>
      <c r="B39" t="str">
        <f>CONCATENATE("C_", $C$2, "_ENH_W_TE")</f>
        <v>C_PR24CA46_ENH_W_TE</v>
      </c>
      <c r="C39" t="str">
        <f xml:space="preserve"> $C$7</f>
        <v>Total enhancement allowance - Water - Strategic resource options - Transition allowance</v>
      </c>
      <c r="D39" t="s">
        <v>60</v>
      </c>
      <c r="E39" t="s">
        <v>54</v>
      </c>
    </row>
    <row r="40" spans="1:13">
      <c r="A40" t="s">
        <v>66</v>
      </c>
      <c r="B40" t="str">
        <f xml:space="preserve"> CONCATENATE("PR24QA_",  $C$2, "_OUT1")</f>
        <v>PR24QA_PR24CA46_OUT1</v>
      </c>
      <c r="C40" t="str">
        <f xml:space="preserve"> CONCATENATE("Date &amp; Time for Model - ", $C$2)</f>
        <v>Date &amp; Time for Model - PR24CA46</v>
      </c>
      <c r="D40" t="s">
        <v>380</v>
      </c>
      <c r="E40" t="s">
        <v>54</v>
      </c>
      <c r="F40" t="str">
        <f t="shared" ref="F40:M40" ca="1" si="8">CONCATENATE("[…]", TEXT(NOW(),"dd/mm/yyy hh:mm:ss"))</f>
        <v>[…]17/12/2024 11:22:11</v>
      </c>
      <c r="G40" t="str">
        <f t="shared" ca="1" si="8"/>
        <v>[…]17/12/2024 11:22:11</v>
      </c>
      <c r="H40" t="str">
        <f t="shared" ca="1" si="8"/>
        <v>[…]17/12/2024 11:22:11</v>
      </c>
      <c r="I40" t="str">
        <f t="shared" ca="1" si="8"/>
        <v>[…]17/12/2024 11:22:11</v>
      </c>
      <c r="J40" t="str">
        <f t="shared" ca="1" si="8"/>
        <v>[…]17/12/2024 11:22:11</v>
      </c>
      <c r="K40" t="str">
        <f t="shared" ca="1" si="8"/>
        <v>[…]17/12/2024 11:22:11</v>
      </c>
      <c r="L40" t="str">
        <f t="shared" ca="1" si="8"/>
        <v>[…]17/12/2024 11:22:11</v>
      </c>
      <c r="M40" t="str">
        <f t="shared" ca="1" si="8"/>
        <v>[…]17/12/2024 11:22:11</v>
      </c>
    </row>
    <row r="41" spans="1:13">
      <c r="A41" t="s">
        <v>66</v>
      </c>
      <c r="B41" t="str">
        <f xml:space="preserve"> CONCATENATE("PR24QA_",  $C$2, "_OUT2")</f>
        <v>PR24QA_PR24CA46_OUT2</v>
      </c>
      <c r="C41" t="str">
        <f xml:space="preserve"> CONCATENATE("Name of Model - ", $C$2)</f>
        <v>Name of Model - PR24CA46</v>
      </c>
      <c r="D41" t="s">
        <v>380</v>
      </c>
      <c r="E41" t="s">
        <v>54</v>
      </c>
      <c r="F41" t="e">
        <f t="shared" ref="F41:M41" ca="1" si="9">MID(CELL("filename"),SEARCH("[",CELL("filename"))+1,SEARCH("]",CELL("filename"))-SEARCH("[",CELL("filename"))-1)</f>
        <v>#VALUE!</v>
      </c>
      <c r="G41" t="e">
        <f t="shared" ca="1" si="9"/>
        <v>#VALUE!</v>
      </c>
      <c r="H41" t="e">
        <f t="shared" ca="1" si="9"/>
        <v>#VALUE!</v>
      </c>
      <c r="I41" t="e">
        <f t="shared" ca="1" si="9"/>
        <v>#VALUE!</v>
      </c>
      <c r="J41" t="e">
        <f t="shared" ca="1" si="9"/>
        <v>#VALUE!</v>
      </c>
      <c r="K41" t="e">
        <f t="shared" ca="1" si="9"/>
        <v>#VALUE!</v>
      </c>
      <c r="L41" t="e">
        <f t="shared" ca="1" si="9"/>
        <v>#VALUE!</v>
      </c>
      <c r="M41" t="e">
        <f t="shared" ca="1" si="9"/>
        <v>#VALUE!</v>
      </c>
    </row>
    <row r="42" spans="1:13">
      <c r="A42" t="s">
        <v>66</v>
      </c>
      <c r="B42" t="str">
        <f xml:space="preserve"> CONCATENATE("PR24QA_",  $C$2, "_OUT3")</f>
        <v>PR24QA_PR24CA46_OUT3</v>
      </c>
      <c r="C42" t="str">
        <f xml:space="preserve"> CONCATENATE("F_Inputs time stamp - ", $C$2)</f>
        <v>F_Inputs time stamp - PR24CA46</v>
      </c>
      <c r="D42" t="s">
        <v>380</v>
      </c>
      <c r="E42" t="s">
        <v>54</v>
      </c>
      <c r="F42" t="str">
        <f>'F_Inputs BP'!$E$2</f>
        <v>Run on 09 Oct 2024 16:53</v>
      </c>
      <c r="G42" t="str">
        <f>'F_Inputs BP'!$E$2</f>
        <v>Run on 09 Oct 2024 16:53</v>
      </c>
      <c r="H42" t="str">
        <f>'F_Inputs BP'!$E$2</f>
        <v>Run on 09 Oct 2024 16:53</v>
      </c>
      <c r="I42" t="str">
        <f>'F_Inputs BP'!$E$2</f>
        <v>Run on 09 Oct 2024 16:53</v>
      </c>
      <c r="J42" t="str">
        <f>'F_Inputs BP'!$E$2</f>
        <v>Run on 09 Oct 2024 16:53</v>
      </c>
      <c r="K42" t="str">
        <f>'F_Inputs BP'!$E$2</f>
        <v>Run on 09 Oct 2024 16:53</v>
      </c>
      <c r="L42" t="str">
        <f>'F_Inputs BP'!$E$2</f>
        <v>Run on 09 Oct 2024 16:53</v>
      </c>
      <c r="M42" t="str">
        <f>'F_Inputs BP'!$E$2</f>
        <v>Run on 09 Oct 2024 16:53</v>
      </c>
    </row>
    <row r="43" spans="1:13">
      <c r="A43" t="s">
        <v>66</v>
      </c>
      <c r="B43" t="str">
        <f xml:space="preserve"> CONCATENATE("PR24QA_",  $C$2, "_OUT4")</f>
        <v>PR24QA_PR24CA46_OUT4</v>
      </c>
      <c r="C43" t="str">
        <f xml:space="preserve"> CONCATENATE("Model override switch for - ", $C$2)</f>
        <v>Model override switch for - PR24CA46</v>
      </c>
      <c r="D43" t="s">
        <v>381</v>
      </c>
      <c r="E43" t="s">
        <v>54</v>
      </c>
      <c r="F43">
        <f>IF(SUM('F_Input Override'!$F$4:$J$20)&gt;0,1,0)</f>
        <v>1</v>
      </c>
      <c r="G43">
        <f>IF(SUM('F_Input Override'!$F$4:$J$20)&gt;0,1,0)</f>
        <v>1</v>
      </c>
      <c r="H43">
        <f>IF(SUM('F_Input Override'!$F$4:$J$20)&gt;0,1,0)</f>
        <v>1</v>
      </c>
      <c r="I43">
        <f>IF(SUM('F_Input Override'!$F$4:$J$20)&gt;0,1,0)</f>
        <v>1</v>
      </c>
      <c r="J43">
        <f>IF(SUM('F_Input Override'!$F$4:$J$20)&gt;0,1,0)</f>
        <v>1</v>
      </c>
      <c r="K43">
        <f>IF(SUM('F_Input Override'!$F$4:$J$20)&gt;0,1,0)</f>
        <v>1</v>
      </c>
      <c r="L43">
        <f>IF(SUM('F_Input Override'!$F$4:$J$20)&gt;0,1,0)</f>
        <v>1</v>
      </c>
      <c r="M43">
        <f>IF(SUM('F_Input Override'!$F$4:$J$20)&gt;0,1,0)</f>
        <v>1</v>
      </c>
    </row>
    <row r="44" spans="1:13">
      <c r="A44" t="s">
        <v>66</v>
      </c>
      <c r="B44" t="str">
        <f>CONCATENATE("C_", $C$2, "_ENH_W_ASSESSED")</f>
        <v>C_PR24CA46_ENH_W_ASSESSED</v>
      </c>
      <c r="C44" t="str">
        <f>CONCATENATE("Total amount assessed - ", MID($C$5,31,200))</f>
        <v>Total amount assessed - Water - Strategic resource options - Totex</v>
      </c>
      <c r="D44" t="s">
        <v>60</v>
      </c>
      <c r="E44" t="s">
        <v>54</v>
      </c>
      <c r="F44">
        <f xml:space="preserve"> SUMIFS(Allowance!$E$10:$E$26, Allowance!$B$10:$B$26, A44)</f>
        <v>352.173</v>
      </c>
    </row>
    <row r="45" spans="1:13">
      <c r="A45" t="s">
        <v>64</v>
      </c>
      <c r="B45" t="str">
        <f>CONCATENATE("C_", $C$2, "_ENH_W_TOT")</f>
        <v>C_PR24CA46_ENH_W_TOT</v>
      </c>
      <c r="C45" t="str">
        <f xml:space="preserve"> $C$5</f>
        <v>Total enhancement allowance - Water - Strategic resource options - Totex</v>
      </c>
      <c r="D45" t="s">
        <v>60</v>
      </c>
      <c r="E45" t="s">
        <v>54</v>
      </c>
      <c r="I45">
        <f xml:space="preserve"> SUMIFS('Outputs to aggregator'!D$76:D$92, 'Outputs to aggregator'!$B$76:$B$92, $A45)</f>
        <v>27.802241456032412</v>
      </c>
      <c r="J45">
        <f xml:space="preserve"> SUMIFS('Outputs to aggregator'!E$76:E$92, 'Outputs to aggregator'!$B$76:$B$92, $A45)</f>
        <v>36.548381998246562</v>
      </c>
      <c r="K45">
        <f xml:space="preserve"> SUMIFS('Outputs to aggregator'!F$76:F$92, 'Outputs to aggregator'!$B$76:$B$92, $A45)</f>
        <v>18.633082024717098</v>
      </c>
      <c r="L45">
        <f xml:space="preserve"> SUMIFS('Outputs to aggregator'!G$76:G$92, 'Outputs to aggregator'!$B$76:$B$92, $A45)</f>
        <v>12.845823605737218</v>
      </c>
      <c r="M45">
        <f xml:space="preserve"> SUMIFS('Outputs to aggregator'!H$76:H$92, 'Outputs to aggregator'!$B$76:$B$92, $A45)</f>
        <v>7.5760882957640954</v>
      </c>
    </row>
    <row r="46" spans="1:13">
      <c r="A46" t="s">
        <v>64</v>
      </c>
      <c r="B46" t="str">
        <f>CONCATENATE("C_", $C$2, "_ENH_W_AP")</f>
        <v>C_PR24CA46_ENH_W_AP</v>
      </c>
      <c r="C46" t="str">
        <f xml:space="preserve"> $C$6</f>
        <v>Total enhancement allowance - Water - Strategic resource options - Accelerated programme</v>
      </c>
      <c r="D46" t="s">
        <v>60</v>
      </c>
      <c r="E46" t="s">
        <v>54</v>
      </c>
    </row>
    <row r="47" spans="1:13">
      <c r="A47" t="s">
        <v>64</v>
      </c>
      <c r="B47" t="str">
        <f>CONCATENATE("C_", $C$2, "_ENH_W_TE")</f>
        <v>C_PR24CA46_ENH_W_TE</v>
      </c>
      <c r="C47" t="str">
        <f xml:space="preserve"> $C$7</f>
        <v>Total enhancement allowance - Water - Strategic resource options - Transition allowance</v>
      </c>
      <c r="D47" t="s">
        <v>60</v>
      </c>
      <c r="E47" t="s">
        <v>54</v>
      </c>
    </row>
    <row r="48" spans="1:13">
      <c r="A48" t="s">
        <v>64</v>
      </c>
      <c r="B48" t="str">
        <f xml:space="preserve"> CONCATENATE("PR24QA_",  $C$2, "_OUT1")</f>
        <v>PR24QA_PR24CA46_OUT1</v>
      </c>
      <c r="C48" t="str">
        <f xml:space="preserve"> CONCATENATE("Date &amp; Time for Model - ", $C$2)</f>
        <v>Date &amp; Time for Model - PR24CA46</v>
      </c>
      <c r="D48" t="s">
        <v>380</v>
      </c>
      <c r="E48" t="s">
        <v>54</v>
      </c>
      <c r="F48" t="str">
        <f t="shared" ref="F48:M48" ca="1" si="10">CONCATENATE("[…]", TEXT(NOW(),"dd/mm/yyy hh:mm:ss"))</f>
        <v>[…]17/12/2024 11:22:11</v>
      </c>
      <c r="G48" t="str">
        <f t="shared" ca="1" si="10"/>
        <v>[…]17/12/2024 11:22:11</v>
      </c>
      <c r="H48" t="str">
        <f t="shared" ca="1" si="10"/>
        <v>[…]17/12/2024 11:22:11</v>
      </c>
      <c r="I48" t="str">
        <f t="shared" ca="1" si="10"/>
        <v>[…]17/12/2024 11:22:11</v>
      </c>
      <c r="J48" t="str">
        <f t="shared" ca="1" si="10"/>
        <v>[…]17/12/2024 11:22:11</v>
      </c>
      <c r="K48" t="str">
        <f t="shared" ca="1" si="10"/>
        <v>[…]17/12/2024 11:22:11</v>
      </c>
      <c r="L48" t="str">
        <f t="shared" ca="1" si="10"/>
        <v>[…]17/12/2024 11:22:11</v>
      </c>
      <c r="M48" t="str">
        <f t="shared" ca="1" si="10"/>
        <v>[…]17/12/2024 11:22:11</v>
      </c>
    </row>
    <row r="49" spans="1:13">
      <c r="A49" t="s">
        <v>64</v>
      </c>
      <c r="B49" t="str">
        <f xml:space="preserve"> CONCATENATE("PR24QA_",  $C$2, "_OUT2")</f>
        <v>PR24QA_PR24CA46_OUT2</v>
      </c>
      <c r="C49" t="str">
        <f xml:space="preserve"> CONCATENATE("Name of Model - ", $C$2)</f>
        <v>Name of Model - PR24CA46</v>
      </c>
      <c r="D49" t="s">
        <v>380</v>
      </c>
      <c r="E49" t="s">
        <v>54</v>
      </c>
      <c r="F49" t="e">
        <f t="shared" ref="F49:M49" ca="1" si="11">MID(CELL("filename"),SEARCH("[",CELL("filename"))+1,SEARCH("]",CELL("filename"))-SEARCH("[",CELL("filename"))-1)</f>
        <v>#VALUE!</v>
      </c>
      <c r="G49" t="e">
        <f t="shared" ca="1" si="11"/>
        <v>#VALUE!</v>
      </c>
      <c r="H49" t="e">
        <f t="shared" ca="1" si="11"/>
        <v>#VALUE!</v>
      </c>
      <c r="I49" t="e">
        <f t="shared" ca="1" si="11"/>
        <v>#VALUE!</v>
      </c>
      <c r="J49" t="e">
        <f t="shared" ca="1" si="11"/>
        <v>#VALUE!</v>
      </c>
      <c r="K49" t="e">
        <f t="shared" ca="1" si="11"/>
        <v>#VALUE!</v>
      </c>
      <c r="L49" t="e">
        <f t="shared" ca="1" si="11"/>
        <v>#VALUE!</v>
      </c>
      <c r="M49" t="e">
        <f t="shared" ca="1" si="11"/>
        <v>#VALUE!</v>
      </c>
    </row>
    <row r="50" spans="1:13">
      <c r="A50" t="s">
        <v>64</v>
      </c>
      <c r="B50" t="str">
        <f xml:space="preserve"> CONCATENATE("PR24QA_",  $C$2, "_OUT3")</f>
        <v>PR24QA_PR24CA46_OUT3</v>
      </c>
      <c r="C50" t="str">
        <f xml:space="preserve"> CONCATENATE("F_Inputs time stamp - ", $C$2)</f>
        <v>F_Inputs time stamp - PR24CA46</v>
      </c>
      <c r="D50" t="s">
        <v>380</v>
      </c>
      <c r="E50" t="s">
        <v>54</v>
      </c>
      <c r="F50" t="str">
        <f>'F_Inputs BP'!$E$2</f>
        <v>Run on 09 Oct 2024 16:53</v>
      </c>
      <c r="G50" t="str">
        <f>'F_Inputs BP'!$E$2</f>
        <v>Run on 09 Oct 2024 16:53</v>
      </c>
      <c r="H50" t="str">
        <f>'F_Inputs BP'!$E$2</f>
        <v>Run on 09 Oct 2024 16:53</v>
      </c>
      <c r="I50" t="str">
        <f>'F_Inputs BP'!$E$2</f>
        <v>Run on 09 Oct 2024 16:53</v>
      </c>
      <c r="J50" t="str">
        <f>'F_Inputs BP'!$E$2</f>
        <v>Run on 09 Oct 2024 16:53</v>
      </c>
      <c r="K50" t="str">
        <f>'F_Inputs BP'!$E$2</f>
        <v>Run on 09 Oct 2024 16:53</v>
      </c>
      <c r="L50" t="str">
        <f>'F_Inputs BP'!$E$2</f>
        <v>Run on 09 Oct 2024 16:53</v>
      </c>
      <c r="M50" t="str">
        <f>'F_Inputs BP'!$E$2</f>
        <v>Run on 09 Oct 2024 16:53</v>
      </c>
    </row>
    <row r="51" spans="1:13">
      <c r="A51" t="s">
        <v>64</v>
      </c>
      <c r="B51" t="str">
        <f xml:space="preserve"> CONCATENATE("PR24QA_",  $C$2, "_OUT4")</f>
        <v>PR24QA_PR24CA46_OUT4</v>
      </c>
      <c r="C51" t="str">
        <f xml:space="preserve"> CONCATENATE("Model override switch for - ", $C$2)</f>
        <v>Model override switch for - PR24CA46</v>
      </c>
      <c r="D51" t="s">
        <v>381</v>
      </c>
      <c r="E51" t="s">
        <v>54</v>
      </c>
      <c r="F51">
        <f>IF(SUM('F_Input Override'!$F$4:$J$20)&gt;0,1,0)</f>
        <v>1</v>
      </c>
      <c r="G51">
        <f>IF(SUM('F_Input Override'!$F$4:$J$20)&gt;0,1,0)</f>
        <v>1</v>
      </c>
      <c r="H51">
        <f>IF(SUM('F_Input Override'!$F$4:$J$20)&gt;0,1,0)</f>
        <v>1</v>
      </c>
      <c r="I51">
        <f>IF(SUM('F_Input Override'!$F$4:$J$20)&gt;0,1,0)</f>
        <v>1</v>
      </c>
      <c r="J51">
        <f>IF(SUM('F_Input Override'!$F$4:$J$20)&gt;0,1,0)</f>
        <v>1</v>
      </c>
      <c r="K51">
        <f>IF(SUM('F_Input Override'!$F$4:$J$20)&gt;0,1,0)</f>
        <v>1</v>
      </c>
      <c r="L51">
        <f>IF(SUM('F_Input Override'!$F$4:$J$20)&gt;0,1,0)</f>
        <v>1</v>
      </c>
      <c r="M51">
        <f>IF(SUM('F_Input Override'!$F$4:$J$20)&gt;0,1,0)</f>
        <v>1</v>
      </c>
    </row>
    <row r="52" spans="1:13">
      <c r="A52" t="s">
        <v>64</v>
      </c>
      <c r="B52" t="str">
        <f>CONCATENATE("C_", $C$2, "_ENH_W_ASSESSED")</f>
        <v>C_PR24CA46_ENH_W_ASSESSED</v>
      </c>
      <c r="C52" t="str">
        <f>CONCATENATE("Total amount assessed - ", MID($C$5,31,200))</f>
        <v>Total amount assessed - Water - Strategic resource options - Totex</v>
      </c>
      <c r="D52" t="s">
        <v>60</v>
      </c>
      <c r="E52" t="s">
        <v>54</v>
      </c>
      <c r="F52">
        <f xml:space="preserve"> SUMIFS(Allowance!$E$10:$E$26, Allowance!$B$10:$B$26, A52)</f>
        <v>45.955999999999996</v>
      </c>
    </row>
    <row r="53" spans="1:13">
      <c r="A53" t="s">
        <v>65</v>
      </c>
      <c r="B53" t="str">
        <f>CONCATENATE("C_", $C$2, "_ENH_W_TOT")</f>
        <v>C_PR24CA46_ENH_W_TOT</v>
      </c>
      <c r="C53" t="str">
        <f xml:space="preserve"> $C$5</f>
        <v>Total enhancement allowance - Water - Strategic resource options - Totex</v>
      </c>
      <c r="D53" t="s">
        <v>60</v>
      </c>
      <c r="E53" t="s">
        <v>54</v>
      </c>
      <c r="I53">
        <f xml:space="preserve"> SUMIFS('Outputs to aggregator'!D$76:D$92, 'Outputs to aggregator'!$B$76:$B$92, $A53)</f>
        <v>16.325666531726686</v>
      </c>
      <c r="J53">
        <f xml:space="preserve"> SUMIFS('Outputs to aggregator'!E$76:E$92, 'Outputs to aggregator'!$B$76:$B$92, $A53)</f>
        <v>16.21055561825926</v>
      </c>
      <c r="K53">
        <f xml:space="preserve"> SUMIFS('Outputs to aggregator'!F$76:F$92, 'Outputs to aggregator'!$B$76:$B$92, $A53)</f>
        <v>17.838028001218902</v>
      </c>
      <c r="L53">
        <f xml:space="preserve"> SUMIFS('Outputs to aggregator'!G$76:G$92, 'Outputs to aggregator'!$B$76:$B$92, $A53)</f>
        <v>20.658245381170783</v>
      </c>
      <c r="M53">
        <f xml:space="preserve"> SUMIFS('Outputs to aggregator'!H$76:H$92, 'Outputs to aggregator'!$B$76:$B$92, $A53)</f>
        <v>15.783175737406804</v>
      </c>
    </row>
    <row r="54" spans="1:13">
      <c r="A54" t="s">
        <v>65</v>
      </c>
      <c r="B54" t="str">
        <f>CONCATENATE("C_", $C$2, "_ENH_W_AP")</f>
        <v>C_PR24CA46_ENH_W_AP</v>
      </c>
      <c r="C54" t="str">
        <f xml:space="preserve"> $C$6</f>
        <v>Total enhancement allowance - Water - Strategic resource options - Accelerated programme</v>
      </c>
      <c r="D54" t="s">
        <v>60</v>
      </c>
      <c r="E54" t="s">
        <v>54</v>
      </c>
    </row>
    <row r="55" spans="1:13">
      <c r="A55" t="s">
        <v>65</v>
      </c>
      <c r="B55" t="str">
        <f>CONCATENATE("C_", $C$2, "_ENH_W_TE")</f>
        <v>C_PR24CA46_ENH_W_TE</v>
      </c>
      <c r="C55" t="str">
        <f xml:space="preserve"> $C$7</f>
        <v>Total enhancement allowance - Water - Strategic resource options - Transition allowance</v>
      </c>
      <c r="D55" t="s">
        <v>60</v>
      </c>
      <c r="E55" t="s">
        <v>54</v>
      </c>
    </row>
    <row r="56" spans="1:13">
      <c r="A56" t="s">
        <v>65</v>
      </c>
      <c r="B56" t="str">
        <f xml:space="preserve"> CONCATENATE("PR24QA_",  $C$2, "_OUT1")</f>
        <v>PR24QA_PR24CA46_OUT1</v>
      </c>
      <c r="C56" t="str">
        <f xml:space="preserve"> CONCATENATE("Date &amp; Time for Model - ", $C$2)</f>
        <v>Date &amp; Time for Model - PR24CA46</v>
      </c>
      <c r="D56" t="s">
        <v>380</v>
      </c>
      <c r="E56" t="s">
        <v>54</v>
      </c>
      <c r="F56" t="str">
        <f t="shared" ref="F56:M56" ca="1" si="12">CONCATENATE("[…]", TEXT(NOW(),"dd/mm/yyy hh:mm:ss"))</f>
        <v>[…]17/12/2024 11:22:11</v>
      </c>
      <c r="G56" t="str">
        <f t="shared" ca="1" si="12"/>
        <v>[…]17/12/2024 11:22:11</v>
      </c>
      <c r="H56" t="str">
        <f t="shared" ca="1" si="12"/>
        <v>[…]17/12/2024 11:22:11</v>
      </c>
      <c r="I56" t="str">
        <f t="shared" ca="1" si="12"/>
        <v>[…]17/12/2024 11:22:11</v>
      </c>
      <c r="J56" t="str">
        <f t="shared" ca="1" si="12"/>
        <v>[…]17/12/2024 11:22:11</v>
      </c>
      <c r="K56" t="str">
        <f t="shared" ca="1" si="12"/>
        <v>[…]17/12/2024 11:22:11</v>
      </c>
      <c r="L56" t="str">
        <f t="shared" ca="1" si="12"/>
        <v>[…]17/12/2024 11:22:11</v>
      </c>
      <c r="M56" t="str">
        <f t="shared" ca="1" si="12"/>
        <v>[…]17/12/2024 11:22:11</v>
      </c>
    </row>
    <row r="57" spans="1:13">
      <c r="A57" t="s">
        <v>65</v>
      </c>
      <c r="B57" t="str">
        <f xml:space="preserve"> CONCATENATE("PR24QA_",  $C$2, "_OUT2")</f>
        <v>PR24QA_PR24CA46_OUT2</v>
      </c>
      <c r="C57" t="str">
        <f xml:space="preserve"> CONCATENATE("Name of Model - ", $C$2)</f>
        <v>Name of Model - PR24CA46</v>
      </c>
      <c r="D57" t="s">
        <v>380</v>
      </c>
      <c r="E57" t="s">
        <v>54</v>
      </c>
      <c r="F57" t="e">
        <f t="shared" ref="F57:M57" ca="1" si="13">MID(CELL("filename"),SEARCH("[",CELL("filename"))+1,SEARCH("]",CELL("filename"))-SEARCH("[",CELL("filename"))-1)</f>
        <v>#VALUE!</v>
      </c>
      <c r="G57" t="e">
        <f t="shared" ca="1" si="13"/>
        <v>#VALUE!</v>
      </c>
      <c r="H57" t="e">
        <f t="shared" ca="1" si="13"/>
        <v>#VALUE!</v>
      </c>
      <c r="I57" t="e">
        <f t="shared" ca="1" si="13"/>
        <v>#VALUE!</v>
      </c>
      <c r="J57" t="e">
        <f t="shared" ca="1" si="13"/>
        <v>#VALUE!</v>
      </c>
      <c r="K57" t="e">
        <f t="shared" ca="1" si="13"/>
        <v>#VALUE!</v>
      </c>
      <c r="L57" t="e">
        <f t="shared" ca="1" si="13"/>
        <v>#VALUE!</v>
      </c>
      <c r="M57" t="e">
        <f t="shared" ca="1" si="13"/>
        <v>#VALUE!</v>
      </c>
    </row>
    <row r="58" spans="1:13">
      <c r="A58" t="s">
        <v>65</v>
      </c>
      <c r="B58" t="str">
        <f xml:space="preserve"> CONCATENATE("PR24QA_",  $C$2, "_OUT3")</f>
        <v>PR24QA_PR24CA46_OUT3</v>
      </c>
      <c r="C58" t="str">
        <f xml:space="preserve"> CONCATENATE("F_Inputs time stamp - ", $C$2)</f>
        <v>F_Inputs time stamp - PR24CA46</v>
      </c>
      <c r="D58" t="s">
        <v>380</v>
      </c>
      <c r="E58" t="s">
        <v>54</v>
      </c>
      <c r="F58" t="str">
        <f>'F_Inputs BP'!$E$2</f>
        <v>Run on 09 Oct 2024 16:53</v>
      </c>
      <c r="G58" t="str">
        <f>'F_Inputs BP'!$E$2</f>
        <v>Run on 09 Oct 2024 16:53</v>
      </c>
      <c r="H58" t="str">
        <f>'F_Inputs BP'!$E$2</f>
        <v>Run on 09 Oct 2024 16:53</v>
      </c>
      <c r="I58" t="str">
        <f>'F_Inputs BP'!$E$2</f>
        <v>Run on 09 Oct 2024 16:53</v>
      </c>
      <c r="J58" t="str">
        <f>'F_Inputs BP'!$E$2</f>
        <v>Run on 09 Oct 2024 16:53</v>
      </c>
      <c r="K58" t="str">
        <f>'F_Inputs BP'!$E$2</f>
        <v>Run on 09 Oct 2024 16:53</v>
      </c>
      <c r="L58" t="str">
        <f>'F_Inputs BP'!$E$2</f>
        <v>Run on 09 Oct 2024 16:53</v>
      </c>
      <c r="M58" t="str">
        <f>'F_Inputs BP'!$E$2</f>
        <v>Run on 09 Oct 2024 16:53</v>
      </c>
    </row>
    <row r="59" spans="1:13">
      <c r="A59" t="s">
        <v>65</v>
      </c>
      <c r="B59" t="str">
        <f xml:space="preserve"> CONCATENATE("PR24QA_",  $C$2, "_OUT4")</f>
        <v>PR24QA_PR24CA46_OUT4</v>
      </c>
      <c r="C59" t="str">
        <f xml:space="preserve"> CONCATENATE("Model override switch for - ", $C$2)</f>
        <v>Model override switch for - PR24CA46</v>
      </c>
      <c r="D59" t="s">
        <v>381</v>
      </c>
      <c r="E59" t="s">
        <v>54</v>
      </c>
      <c r="F59">
        <f>IF(SUM('F_Input Override'!$F$4:$J$20)&gt;0,1,0)</f>
        <v>1</v>
      </c>
      <c r="G59">
        <f>IF(SUM('F_Input Override'!$F$4:$J$20)&gt;0,1,0)</f>
        <v>1</v>
      </c>
      <c r="H59">
        <f>IF(SUM('F_Input Override'!$F$4:$J$20)&gt;0,1,0)</f>
        <v>1</v>
      </c>
      <c r="I59">
        <f>IF(SUM('F_Input Override'!$F$4:$J$20)&gt;0,1,0)</f>
        <v>1</v>
      </c>
      <c r="J59">
        <f>IF(SUM('F_Input Override'!$F$4:$J$20)&gt;0,1,0)</f>
        <v>1</v>
      </c>
      <c r="K59">
        <f>IF(SUM('F_Input Override'!$F$4:$J$20)&gt;0,1,0)</f>
        <v>1</v>
      </c>
      <c r="L59">
        <f>IF(SUM('F_Input Override'!$F$4:$J$20)&gt;0,1,0)</f>
        <v>1</v>
      </c>
      <c r="M59">
        <f>IF(SUM('F_Input Override'!$F$4:$J$20)&gt;0,1,0)</f>
        <v>1</v>
      </c>
    </row>
    <row r="60" spans="1:13">
      <c r="A60" t="s">
        <v>65</v>
      </c>
      <c r="B60" t="str">
        <f>CONCATENATE("C_", $C$2, "_ENH_W_ASSESSED")</f>
        <v>C_PR24CA46_ENH_W_ASSESSED</v>
      </c>
      <c r="C60" t="str">
        <f>CONCATENATE("Total amount assessed - ", MID($C$5,31,200))</f>
        <v>Total amount assessed - Water - Strategic resource options - Totex</v>
      </c>
      <c r="D60" t="s">
        <v>60</v>
      </c>
      <c r="E60" t="s">
        <v>54</v>
      </c>
      <c r="F60">
        <f xml:space="preserve"> SUMIFS(Allowance!$E$10:$E$26, Allowance!$B$10:$B$26, A60)</f>
        <v>70.894000000000005</v>
      </c>
    </row>
    <row r="61" spans="1:13">
      <c r="A61" t="s">
        <v>67</v>
      </c>
      <c r="B61" t="str">
        <f>CONCATENATE("C_", $C$2, "_ENH_W_TOT")</f>
        <v>C_PR24CA46_ENH_W_TOT</v>
      </c>
      <c r="C61" t="str">
        <f xml:space="preserve"> $C$5</f>
        <v>Total enhancement allowance - Water - Strategic resource options - Totex</v>
      </c>
      <c r="D61" t="s">
        <v>60</v>
      </c>
      <c r="E61" t="s">
        <v>54</v>
      </c>
      <c r="I61">
        <f xml:space="preserve"> SUMIFS('Outputs to aggregator'!D$76:D$92, 'Outputs to aggregator'!$B$76:$B$92, $A61)</f>
        <v>44.703598523715641</v>
      </c>
      <c r="J61">
        <f xml:space="preserve"> SUMIFS('Outputs to aggregator'!E$76:E$92, 'Outputs to aggregator'!$B$76:$B$92, $A61)</f>
        <v>46.379501022718379</v>
      </c>
      <c r="K61">
        <f xml:space="preserve"> SUMIFS('Outputs to aggregator'!F$76:F$92, 'Outputs to aggregator'!$B$76:$B$92, $A61)</f>
        <v>51.161737229387015</v>
      </c>
      <c r="L61">
        <f xml:space="preserve"> SUMIFS('Outputs to aggregator'!G$76:G$92, 'Outputs to aggregator'!$B$76:$B$92, $A61)</f>
        <v>72.016990719329172</v>
      </c>
      <c r="M61">
        <f xml:space="preserve"> SUMIFS('Outputs to aggregator'!H$76:H$92, 'Outputs to aggregator'!$B$76:$B$92, $A61)</f>
        <v>259.69102459320226</v>
      </c>
    </row>
    <row r="62" spans="1:13">
      <c r="A62" t="s">
        <v>67</v>
      </c>
      <c r="B62" t="str">
        <f>CONCATENATE("C_", $C$2, "_ENH_W_AP")</f>
        <v>C_PR24CA46_ENH_W_AP</v>
      </c>
      <c r="C62" t="str">
        <f xml:space="preserve"> $C$6</f>
        <v>Total enhancement allowance - Water - Strategic resource options - Accelerated programme</v>
      </c>
      <c r="D62" t="s">
        <v>60</v>
      </c>
      <c r="E62" t="s">
        <v>54</v>
      </c>
    </row>
    <row r="63" spans="1:13">
      <c r="A63" t="s">
        <v>67</v>
      </c>
      <c r="B63" t="str">
        <f>CONCATENATE("C_", $C$2, "_ENH_W_TE")</f>
        <v>C_PR24CA46_ENH_W_TE</v>
      </c>
      <c r="C63" t="str">
        <f xml:space="preserve"> $C$7</f>
        <v>Total enhancement allowance - Water - Strategic resource options - Transition allowance</v>
      </c>
      <c r="D63" t="s">
        <v>60</v>
      </c>
      <c r="E63" t="s">
        <v>54</v>
      </c>
    </row>
    <row r="64" spans="1:13">
      <c r="A64" t="s">
        <v>67</v>
      </c>
      <c r="B64" t="str">
        <f xml:space="preserve"> CONCATENATE("PR24QA_",  $C$2, "_OUT1")</f>
        <v>PR24QA_PR24CA46_OUT1</v>
      </c>
      <c r="C64" t="str">
        <f xml:space="preserve"> CONCATENATE("Date &amp; Time for Model - ", $C$2)</f>
        <v>Date &amp; Time for Model - PR24CA46</v>
      </c>
      <c r="D64" t="s">
        <v>380</v>
      </c>
      <c r="E64" t="s">
        <v>54</v>
      </c>
      <c r="F64" t="str">
        <f t="shared" ref="F64:M64" ca="1" si="14">CONCATENATE("[…]", TEXT(NOW(),"dd/mm/yyy hh:mm:ss"))</f>
        <v>[…]17/12/2024 11:22:11</v>
      </c>
      <c r="G64" t="str">
        <f t="shared" ca="1" si="14"/>
        <v>[…]17/12/2024 11:22:11</v>
      </c>
      <c r="H64" t="str">
        <f t="shared" ca="1" si="14"/>
        <v>[…]17/12/2024 11:22:11</v>
      </c>
      <c r="I64" t="str">
        <f t="shared" ca="1" si="14"/>
        <v>[…]17/12/2024 11:22:11</v>
      </c>
      <c r="J64" t="str">
        <f t="shared" ca="1" si="14"/>
        <v>[…]17/12/2024 11:22:11</v>
      </c>
      <c r="K64" t="str">
        <f t="shared" ca="1" si="14"/>
        <v>[…]17/12/2024 11:22:11</v>
      </c>
      <c r="L64" t="str">
        <f t="shared" ca="1" si="14"/>
        <v>[…]17/12/2024 11:22:11</v>
      </c>
      <c r="M64" t="str">
        <f t="shared" ca="1" si="14"/>
        <v>[…]17/12/2024 11:22:11</v>
      </c>
    </row>
    <row r="65" spans="1:13">
      <c r="A65" t="s">
        <v>67</v>
      </c>
      <c r="B65" t="str">
        <f xml:space="preserve"> CONCATENATE("PR24QA_",  $C$2, "_OUT2")</f>
        <v>PR24QA_PR24CA46_OUT2</v>
      </c>
      <c r="C65" t="str">
        <f xml:space="preserve"> CONCATENATE("Name of Model - ", $C$2)</f>
        <v>Name of Model - PR24CA46</v>
      </c>
      <c r="D65" t="s">
        <v>380</v>
      </c>
      <c r="E65" t="s">
        <v>54</v>
      </c>
      <c r="F65" t="e">
        <f t="shared" ref="F65:M65" ca="1" si="15">MID(CELL("filename"),SEARCH("[",CELL("filename"))+1,SEARCH("]",CELL("filename"))-SEARCH("[",CELL("filename"))-1)</f>
        <v>#VALUE!</v>
      </c>
      <c r="G65" t="e">
        <f t="shared" ca="1" si="15"/>
        <v>#VALUE!</v>
      </c>
      <c r="H65" t="e">
        <f t="shared" ca="1" si="15"/>
        <v>#VALUE!</v>
      </c>
      <c r="I65" t="e">
        <f t="shared" ca="1" si="15"/>
        <v>#VALUE!</v>
      </c>
      <c r="J65" t="e">
        <f t="shared" ca="1" si="15"/>
        <v>#VALUE!</v>
      </c>
      <c r="K65" t="e">
        <f t="shared" ca="1" si="15"/>
        <v>#VALUE!</v>
      </c>
      <c r="L65" t="e">
        <f t="shared" ca="1" si="15"/>
        <v>#VALUE!</v>
      </c>
      <c r="M65" t="e">
        <f t="shared" ca="1" si="15"/>
        <v>#VALUE!</v>
      </c>
    </row>
    <row r="66" spans="1:13">
      <c r="A66" t="s">
        <v>67</v>
      </c>
      <c r="B66" t="str">
        <f xml:space="preserve"> CONCATENATE("PR24QA_",  $C$2, "_OUT3")</f>
        <v>PR24QA_PR24CA46_OUT3</v>
      </c>
      <c r="C66" t="str">
        <f xml:space="preserve"> CONCATENATE("F_Inputs time stamp - ", $C$2)</f>
        <v>F_Inputs time stamp - PR24CA46</v>
      </c>
      <c r="D66" t="s">
        <v>380</v>
      </c>
      <c r="E66" t="s">
        <v>54</v>
      </c>
      <c r="F66" t="str">
        <f>'F_Inputs BP'!$E$2</f>
        <v>Run on 09 Oct 2024 16:53</v>
      </c>
      <c r="G66" t="str">
        <f>'F_Inputs BP'!$E$2</f>
        <v>Run on 09 Oct 2024 16:53</v>
      </c>
      <c r="H66" t="str">
        <f>'F_Inputs BP'!$E$2</f>
        <v>Run on 09 Oct 2024 16:53</v>
      </c>
      <c r="I66" t="str">
        <f>'F_Inputs BP'!$E$2</f>
        <v>Run on 09 Oct 2024 16:53</v>
      </c>
      <c r="J66" t="str">
        <f>'F_Inputs BP'!$E$2</f>
        <v>Run on 09 Oct 2024 16:53</v>
      </c>
      <c r="K66" t="str">
        <f>'F_Inputs BP'!$E$2</f>
        <v>Run on 09 Oct 2024 16:53</v>
      </c>
      <c r="L66" t="str">
        <f>'F_Inputs BP'!$E$2</f>
        <v>Run on 09 Oct 2024 16:53</v>
      </c>
      <c r="M66" t="str">
        <f>'F_Inputs BP'!$E$2</f>
        <v>Run on 09 Oct 2024 16:53</v>
      </c>
    </row>
    <row r="67" spans="1:13">
      <c r="A67" t="s">
        <v>67</v>
      </c>
      <c r="B67" t="str">
        <f xml:space="preserve"> CONCATENATE("PR24QA_",  $C$2, "_OUT4")</f>
        <v>PR24QA_PR24CA46_OUT4</v>
      </c>
      <c r="C67" t="str">
        <f xml:space="preserve"> CONCATENATE("Model override switch for - ", $C$2)</f>
        <v>Model override switch for - PR24CA46</v>
      </c>
      <c r="D67" t="s">
        <v>381</v>
      </c>
      <c r="E67" t="s">
        <v>54</v>
      </c>
      <c r="F67">
        <f>IF(SUM('F_Input Override'!$F$4:$J$20)&gt;0,1,0)</f>
        <v>1</v>
      </c>
      <c r="G67">
        <f>IF(SUM('F_Input Override'!$F$4:$J$20)&gt;0,1,0)</f>
        <v>1</v>
      </c>
      <c r="H67">
        <f>IF(SUM('F_Input Override'!$F$4:$J$20)&gt;0,1,0)</f>
        <v>1</v>
      </c>
      <c r="I67">
        <f>IF(SUM('F_Input Override'!$F$4:$J$20)&gt;0,1,0)</f>
        <v>1</v>
      </c>
      <c r="J67">
        <f>IF(SUM('F_Input Override'!$F$4:$J$20)&gt;0,1,0)</f>
        <v>1</v>
      </c>
      <c r="K67">
        <f>IF(SUM('F_Input Override'!$F$4:$J$20)&gt;0,1,0)</f>
        <v>1</v>
      </c>
      <c r="L67">
        <f>IF(SUM('F_Input Override'!$F$4:$J$20)&gt;0,1,0)</f>
        <v>1</v>
      </c>
      <c r="M67">
        <f>IF(SUM('F_Input Override'!$F$4:$J$20)&gt;0,1,0)</f>
        <v>1</v>
      </c>
    </row>
    <row r="68" spans="1:13">
      <c r="A68" t="s">
        <v>67</v>
      </c>
      <c r="B68" t="str">
        <f>CONCATENATE("C_", $C$2, "_ENH_W_ASSESSED")</f>
        <v>C_PR24CA46_ENH_W_ASSESSED</v>
      </c>
      <c r="C68" t="str">
        <f>CONCATENATE("Total amount assessed - ", MID($C$5,31,200))</f>
        <v>Total amount assessed - Water - Strategic resource options - Totex</v>
      </c>
      <c r="D68" t="s">
        <v>60</v>
      </c>
      <c r="E68" t="s">
        <v>54</v>
      </c>
      <c r="F68">
        <f xml:space="preserve"> SUMIFS(Allowance!$E$10:$E$26, Allowance!$B$10:$B$26, A68)</f>
        <v>856.26365412422842</v>
      </c>
    </row>
    <row r="69" spans="1:13">
      <c r="A69" t="s">
        <v>61</v>
      </c>
      <c r="B69" t="str">
        <f>CONCATENATE("C_", $C$2, "_ENH_W_TOT")</f>
        <v>C_PR24CA46_ENH_W_TOT</v>
      </c>
      <c r="C69" t="str">
        <f xml:space="preserve"> $C$5</f>
        <v>Total enhancement allowance - Water - Strategic resource options - Totex</v>
      </c>
      <c r="D69" t="s">
        <v>60</v>
      </c>
      <c r="E69" t="s">
        <v>54</v>
      </c>
      <c r="I69">
        <f xml:space="preserve"> SUMIFS('Outputs to aggregator'!D$76:D$92, 'Outputs to aggregator'!$B$76:$B$92, $A69)</f>
        <v>0</v>
      </c>
      <c r="J69">
        <f xml:space="preserve"> SUMIFS('Outputs to aggregator'!E$76:E$92, 'Outputs to aggregator'!$B$76:$B$92, $A69)</f>
        <v>0</v>
      </c>
      <c r="K69">
        <f xml:space="preserve"> SUMIFS('Outputs to aggregator'!F$76:F$92, 'Outputs to aggregator'!$B$76:$B$92, $A69)</f>
        <v>0</v>
      </c>
      <c r="L69">
        <f xml:space="preserve"> SUMIFS('Outputs to aggregator'!G$76:G$92, 'Outputs to aggregator'!$B$76:$B$92, $A69)</f>
        <v>0</v>
      </c>
      <c r="M69">
        <f xml:space="preserve"> SUMIFS('Outputs to aggregator'!H$76:H$92, 'Outputs to aggregator'!$B$76:$B$92, $A69)</f>
        <v>0</v>
      </c>
    </row>
    <row r="70" spans="1:13">
      <c r="A70" t="s">
        <v>61</v>
      </c>
      <c r="B70" t="str">
        <f>CONCATENATE("C_", $C$2, "_ENH_W_AP")</f>
        <v>C_PR24CA46_ENH_W_AP</v>
      </c>
      <c r="C70" t="str">
        <f xml:space="preserve"> $C$6</f>
        <v>Total enhancement allowance - Water - Strategic resource options - Accelerated programme</v>
      </c>
      <c r="D70" t="s">
        <v>60</v>
      </c>
      <c r="E70" t="s">
        <v>54</v>
      </c>
    </row>
    <row r="71" spans="1:13">
      <c r="A71" t="s">
        <v>61</v>
      </c>
      <c r="B71" t="str">
        <f>CONCATENATE("C_", $C$2, "_ENH_W_TE")</f>
        <v>C_PR24CA46_ENH_W_TE</v>
      </c>
      <c r="C71" t="str">
        <f xml:space="preserve"> $C$7</f>
        <v>Total enhancement allowance - Water - Strategic resource options - Transition allowance</v>
      </c>
      <c r="D71" t="s">
        <v>60</v>
      </c>
      <c r="E71" t="s">
        <v>54</v>
      </c>
    </row>
    <row r="72" spans="1:13">
      <c r="A72" t="s">
        <v>61</v>
      </c>
      <c r="B72" t="str">
        <f xml:space="preserve"> CONCATENATE("PR24QA_",  $C$2, "_OUT1")</f>
        <v>PR24QA_PR24CA46_OUT1</v>
      </c>
      <c r="C72" t="str">
        <f xml:space="preserve"> CONCATENATE("Date &amp; Time for Model - ", $C$2)</f>
        <v>Date &amp; Time for Model - PR24CA46</v>
      </c>
      <c r="D72" t="s">
        <v>380</v>
      </c>
      <c r="E72" t="s">
        <v>54</v>
      </c>
      <c r="F72" t="str">
        <f t="shared" ref="F72:M72" ca="1" si="16">CONCATENATE("[…]", TEXT(NOW(),"dd/mm/yyy hh:mm:ss"))</f>
        <v>[…]17/12/2024 11:22:11</v>
      </c>
      <c r="G72" t="str">
        <f t="shared" ca="1" si="16"/>
        <v>[…]17/12/2024 11:22:11</v>
      </c>
      <c r="H72" t="str">
        <f t="shared" ca="1" si="16"/>
        <v>[…]17/12/2024 11:22:11</v>
      </c>
      <c r="I72" t="str">
        <f t="shared" ca="1" si="16"/>
        <v>[…]17/12/2024 11:22:11</v>
      </c>
      <c r="J72" t="str">
        <f t="shared" ca="1" si="16"/>
        <v>[…]17/12/2024 11:22:11</v>
      </c>
      <c r="K72" t="str">
        <f t="shared" ca="1" si="16"/>
        <v>[…]17/12/2024 11:22:11</v>
      </c>
      <c r="L72" t="str">
        <f t="shared" ca="1" si="16"/>
        <v>[…]17/12/2024 11:22:11</v>
      </c>
      <c r="M72" t="str">
        <f t="shared" ca="1" si="16"/>
        <v>[…]17/12/2024 11:22:11</v>
      </c>
    </row>
    <row r="73" spans="1:13">
      <c r="A73" t="s">
        <v>61</v>
      </c>
      <c r="B73" t="str">
        <f xml:space="preserve"> CONCATENATE("PR24QA_",  $C$2, "_OUT2")</f>
        <v>PR24QA_PR24CA46_OUT2</v>
      </c>
      <c r="C73" t="str">
        <f xml:space="preserve"> CONCATENATE("Name of Model - ", $C$2)</f>
        <v>Name of Model - PR24CA46</v>
      </c>
      <c r="D73" t="s">
        <v>380</v>
      </c>
      <c r="E73" t="s">
        <v>54</v>
      </c>
      <c r="F73" t="e">
        <f t="shared" ref="F73:M73" ca="1" si="17">MID(CELL("filename"),SEARCH("[",CELL("filename"))+1,SEARCH("]",CELL("filename"))-SEARCH("[",CELL("filename"))-1)</f>
        <v>#VALUE!</v>
      </c>
      <c r="G73" t="e">
        <f t="shared" ca="1" si="17"/>
        <v>#VALUE!</v>
      </c>
      <c r="H73" t="e">
        <f t="shared" ca="1" si="17"/>
        <v>#VALUE!</v>
      </c>
      <c r="I73" t="e">
        <f t="shared" ca="1" si="17"/>
        <v>#VALUE!</v>
      </c>
      <c r="J73" t="e">
        <f t="shared" ca="1" si="17"/>
        <v>#VALUE!</v>
      </c>
      <c r="K73" t="e">
        <f t="shared" ca="1" si="17"/>
        <v>#VALUE!</v>
      </c>
      <c r="L73" t="e">
        <f t="shared" ca="1" si="17"/>
        <v>#VALUE!</v>
      </c>
      <c r="M73" t="e">
        <f t="shared" ca="1" si="17"/>
        <v>#VALUE!</v>
      </c>
    </row>
    <row r="74" spans="1:13">
      <c r="A74" t="s">
        <v>61</v>
      </c>
      <c r="B74" t="str">
        <f xml:space="preserve"> CONCATENATE("PR24QA_",  $C$2, "_OUT3")</f>
        <v>PR24QA_PR24CA46_OUT3</v>
      </c>
      <c r="C74" t="str">
        <f xml:space="preserve"> CONCATENATE("F_Inputs time stamp - ", $C$2)</f>
        <v>F_Inputs time stamp - PR24CA46</v>
      </c>
      <c r="D74" t="s">
        <v>380</v>
      </c>
      <c r="E74" t="s">
        <v>54</v>
      </c>
      <c r="F74" t="str">
        <f>'F_Inputs BP'!$E$2</f>
        <v>Run on 09 Oct 2024 16:53</v>
      </c>
      <c r="G74" t="str">
        <f>'F_Inputs BP'!$E$2</f>
        <v>Run on 09 Oct 2024 16:53</v>
      </c>
      <c r="H74" t="str">
        <f>'F_Inputs BP'!$E$2</f>
        <v>Run on 09 Oct 2024 16:53</v>
      </c>
      <c r="I74" t="str">
        <f>'F_Inputs BP'!$E$2</f>
        <v>Run on 09 Oct 2024 16:53</v>
      </c>
      <c r="J74" t="str">
        <f>'F_Inputs BP'!$E$2</f>
        <v>Run on 09 Oct 2024 16:53</v>
      </c>
      <c r="K74" t="str">
        <f>'F_Inputs BP'!$E$2</f>
        <v>Run on 09 Oct 2024 16:53</v>
      </c>
      <c r="L74" t="str">
        <f>'F_Inputs BP'!$E$2</f>
        <v>Run on 09 Oct 2024 16:53</v>
      </c>
      <c r="M74" t="str">
        <f>'F_Inputs BP'!$E$2</f>
        <v>Run on 09 Oct 2024 16:53</v>
      </c>
    </row>
    <row r="75" spans="1:13">
      <c r="A75" t="s">
        <v>61</v>
      </c>
      <c r="B75" t="str">
        <f xml:space="preserve"> CONCATENATE("PR24QA_",  $C$2, "_OUT4")</f>
        <v>PR24QA_PR24CA46_OUT4</v>
      </c>
      <c r="C75" t="str">
        <f xml:space="preserve"> CONCATENATE("Model override switch for - ", $C$2)</f>
        <v>Model override switch for - PR24CA46</v>
      </c>
      <c r="D75" t="s">
        <v>381</v>
      </c>
      <c r="E75" t="s">
        <v>54</v>
      </c>
      <c r="F75">
        <f>IF(SUM('F_Input Override'!$F$4:$J$20)&gt;0,1,0)</f>
        <v>1</v>
      </c>
      <c r="G75">
        <f>IF(SUM('F_Input Override'!$F$4:$J$20)&gt;0,1,0)</f>
        <v>1</v>
      </c>
      <c r="H75">
        <f>IF(SUM('F_Input Override'!$F$4:$J$20)&gt;0,1,0)</f>
        <v>1</v>
      </c>
      <c r="I75">
        <f>IF(SUM('F_Input Override'!$F$4:$J$20)&gt;0,1,0)</f>
        <v>1</v>
      </c>
      <c r="J75">
        <f>IF(SUM('F_Input Override'!$F$4:$J$20)&gt;0,1,0)</f>
        <v>1</v>
      </c>
      <c r="K75">
        <f>IF(SUM('F_Input Override'!$F$4:$J$20)&gt;0,1,0)</f>
        <v>1</v>
      </c>
      <c r="L75">
        <f>IF(SUM('F_Input Override'!$F$4:$J$20)&gt;0,1,0)</f>
        <v>1</v>
      </c>
      <c r="M75">
        <f>IF(SUM('F_Input Override'!$F$4:$J$20)&gt;0,1,0)</f>
        <v>1</v>
      </c>
    </row>
    <row r="76" spans="1:13">
      <c r="A76" t="s">
        <v>61</v>
      </c>
      <c r="B76" t="str">
        <f>CONCATENATE("C_", $C$2, "_ENH_W_ASSESSED")</f>
        <v>C_PR24CA46_ENH_W_ASSESSED</v>
      </c>
      <c r="C76" t="str">
        <f>CONCATENATE("Total amount assessed - ", MID($C$5,31,200))</f>
        <v>Total amount assessed - Water - Strategic resource options - Totex</v>
      </c>
      <c r="D76" t="s">
        <v>60</v>
      </c>
      <c r="E76" t="s">
        <v>54</v>
      </c>
      <c r="F76">
        <f xml:space="preserve"> SUMIFS(Allowance!$E$10:$E$26, Allowance!$B$10:$B$26, A76)</f>
        <v>0</v>
      </c>
    </row>
    <row r="77" spans="1:13">
      <c r="A77" t="s">
        <v>69</v>
      </c>
      <c r="B77" t="str">
        <f>CONCATENATE("C_", $C$2, "_ENH_W_TOT")</f>
        <v>C_PR24CA46_ENH_W_TOT</v>
      </c>
      <c r="C77" t="str">
        <f xml:space="preserve"> $C$5</f>
        <v>Total enhancement allowance - Water - Strategic resource options - Totex</v>
      </c>
      <c r="D77" t="s">
        <v>60</v>
      </c>
      <c r="E77" t="s">
        <v>54</v>
      </c>
      <c r="I77">
        <f xml:space="preserve"> SUMIFS('Outputs to aggregator'!D$76:D$92, 'Outputs to aggregator'!$B$76:$B$92, $A77)</f>
        <v>11.451683250904615</v>
      </c>
      <c r="J77">
        <f xml:space="preserve"> SUMIFS('Outputs to aggregator'!E$76:E$92, 'Outputs to aggregator'!$B$76:$B$92, $A77)</f>
        <v>10.171725567065799</v>
      </c>
      <c r="K77">
        <f xml:space="preserve"> SUMIFS('Outputs to aggregator'!F$76:F$92, 'Outputs to aggregator'!$B$76:$B$92, $A77)</f>
        <v>16.235068613067561</v>
      </c>
      <c r="L77">
        <f xml:space="preserve"> SUMIFS('Outputs to aggregator'!G$76:G$92, 'Outputs to aggregator'!$B$76:$B$92, $A77)</f>
        <v>16.960658008372416</v>
      </c>
      <c r="M77">
        <f xml:space="preserve"> SUMIFS('Outputs to aggregator'!H$76:H$92, 'Outputs to aggregator'!$B$76:$B$92, $A77)</f>
        <v>13.332880753744819</v>
      </c>
    </row>
    <row r="78" spans="1:13">
      <c r="A78" t="s">
        <v>69</v>
      </c>
      <c r="B78" t="str">
        <f>CONCATENATE("C_", $C$2, "_ENH_W_AP")</f>
        <v>C_PR24CA46_ENH_W_AP</v>
      </c>
      <c r="C78" t="str">
        <f xml:space="preserve"> $C$6</f>
        <v>Total enhancement allowance - Water - Strategic resource options - Accelerated programme</v>
      </c>
      <c r="D78" t="s">
        <v>60</v>
      </c>
      <c r="E78" t="s">
        <v>54</v>
      </c>
    </row>
    <row r="79" spans="1:13">
      <c r="A79" t="s">
        <v>69</v>
      </c>
      <c r="B79" t="str">
        <f>CONCATENATE("C_", $C$2, "_ENH_W_TE")</f>
        <v>C_PR24CA46_ENH_W_TE</v>
      </c>
      <c r="C79" t="str">
        <f xml:space="preserve"> $C$7</f>
        <v>Total enhancement allowance - Water - Strategic resource options - Transition allowance</v>
      </c>
      <c r="D79" t="s">
        <v>60</v>
      </c>
      <c r="E79" t="s">
        <v>54</v>
      </c>
    </row>
    <row r="80" spans="1:13">
      <c r="A80" t="s">
        <v>69</v>
      </c>
      <c r="B80" t="str">
        <f xml:space="preserve"> CONCATENATE("PR24QA_",  $C$2, "_OUT1")</f>
        <v>PR24QA_PR24CA46_OUT1</v>
      </c>
      <c r="C80" t="str">
        <f xml:space="preserve"> CONCATENATE("Date &amp; Time for Model - ", $C$2)</f>
        <v>Date &amp; Time for Model - PR24CA46</v>
      </c>
      <c r="D80" t="s">
        <v>380</v>
      </c>
      <c r="E80" t="s">
        <v>54</v>
      </c>
      <c r="F80" t="str">
        <f t="shared" ref="F80:M80" ca="1" si="18">CONCATENATE("[…]", TEXT(NOW(),"dd/mm/yyy hh:mm:ss"))</f>
        <v>[…]17/12/2024 11:22:11</v>
      </c>
      <c r="G80" t="str">
        <f t="shared" ca="1" si="18"/>
        <v>[…]17/12/2024 11:22:11</v>
      </c>
      <c r="H80" t="str">
        <f t="shared" ca="1" si="18"/>
        <v>[…]17/12/2024 11:22:11</v>
      </c>
      <c r="I80" t="str">
        <f t="shared" ca="1" si="18"/>
        <v>[…]17/12/2024 11:22:11</v>
      </c>
      <c r="J80" t="str">
        <f t="shared" ca="1" si="18"/>
        <v>[…]17/12/2024 11:22:11</v>
      </c>
      <c r="K80" t="str">
        <f t="shared" ca="1" si="18"/>
        <v>[…]17/12/2024 11:22:11</v>
      </c>
      <c r="L80" t="str">
        <f t="shared" ca="1" si="18"/>
        <v>[…]17/12/2024 11:22:11</v>
      </c>
      <c r="M80" t="str">
        <f t="shared" ca="1" si="18"/>
        <v>[…]17/12/2024 11:22:11</v>
      </c>
    </row>
    <row r="81" spans="1:13">
      <c r="A81" t="s">
        <v>69</v>
      </c>
      <c r="B81" t="str">
        <f xml:space="preserve"> CONCATENATE("PR24QA_",  $C$2, "_OUT2")</f>
        <v>PR24QA_PR24CA46_OUT2</v>
      </c>
      <c r="C81" t="str">
        <f xml:space="preserve"> CONCATENATE("Name of Model - ", $C$2)</f>
        <v>Name of Model - PR24CA46</v>
      </c>
      <c r="D81" t="s">
        <v>380</v>
      </c>
      <c r="E81" t="s">
        <v>54</v>
      </c>
      <c r="F81" t="e">
        <f t="shared" ref="F81:M81" ca="1" si="19">MID(CELL("filename"),SEARCH("[",CELL("filename"))+1,SEARCH("]",CELL("filename"))-SEARCH("[",CELL("filename"))-1)</f>
        <v>#VALUE!</v>
      </c>
      <c r="G81" t="e">
        <f t="shared" ca="1" si="19"/>
        <v>#VALUE!</v>
      </c>
      <c r="H81" t="e">
        <f t="shared" ca="1" si="19"/>
        <v>#VALUE!</v>
      </c>
      <c r="I81" t="e">
        <f t="shared" ca="1" si="19"/>
        <v>#VALUE!</v>
      </c>
      <c r="J81" t="e">
        <f t="shared" ca="1" si="19"/>
        <v>#VALUE!</v>
      </c>
      <c r="K81" t="e">
        <f t="shared" ca="1" si="19"/>
        <v>#VALUE!</v>
      </c>
      <c r="L81" t="e">
        <f t="shared" ca="1" si="19"/>
        <v>#VALUE!</v>
      </c>
      <c r="M81" t="e">
        <f t="shared" ca="1" si="19"/>
        <v>#VALUE!</v>
      </c>
    </row>
    <row r="82" spans="1:13">
      <c r="A82" t="s">
        <v>69</v>
      </c>
      <c r="B82" t="str">
        <f xml:space="preserve"> CONCATENATE("PR24QA_",  $C$2, "_OUT3")</f>
        <v>PR24QA_PR24CA46_OUT3</v>
      </c>
      <c r="C82" t="str">
        <f xml:space="preserve"> CONCATENATE("F_Inputs time stamp - ", $C$2)</f>
        <v>F_Inputs time stamp - PR24CA46</v>
      </c>
      <c r="D82" t="s">
        <v>380</v>
      </c>
      <c r="E82" t="s">
        <v>54</v>
      </c>
      <c r="F82" t="str">
        <f>'F_Inputs BP'!$E$2</f>
        <v>Run on 09 Oct 2024 16:53</v>
      </c>
      <c r="G82" t="str">
        <f>'F_Inputs BP'!$E$2</f>
        <v>Run on 09 Oct 2024 16:53</v>
      </c>
      <c r="H82" t="str">
        <f>'F_Inputs BP'!$E$2</f>
        <v>Run on 09 Oct 2024 16:53</v>
      </c>
      <c r="I82" t="str">
        <f>'F_Inputs BP'!$E$2</f>
        <v>Run on 09 Oct 2024 16:53</v>
      </c>
      <c r="J82" t="str">
        <f>'F_Inputs BP'!$E$2</f>
        <v>Run on 09 Oct 2024 16:53</v>
      </c>
      <c r="K82" t="str">
        <f>'F_Inputs BP'!$E$2</f>
        <v>Run on 09 Oct 2024 16:53</v>
      </c>
      <c r="L82" t="str">
        <f>'F_Inputs BP'!$E$2</f>
        <v>Run on 09 Oct 2024 16:53</v>
      </c>
      <c r="M82" t="str">
        <f>'F_Inputs BP'!$E$2</f>
        <v>Run on 09 Oct 2024 16:53</v>
      </c>
    </row>
    <row r="83" spans="1:13">
      <c r="A83" t="s">
        <v>69</v>
      </c>
      <c r="B83" t="str">
        <f xml:space="preserve"> CONCATENATE("PR24QA_",  $C$2, "_OUT4")</f>
        <v>PR24QA_PR24CA46_OUT4</v>
      </c>
      <c r="C83" t="str">
        <f xml:space="preserve"> CONCATENATE("Model override switch for - ", $C$2)</f>
        <v>Model override switch for - PR24CA46</v>
      </c>
      <c r="D83" t="s">
        <v>381</v>
      </c>
      <c r="E83" t="s">
        <v>54</v>
      </c>
      <c r="F83">
        <f>IF(SUM('F_Input Override'!$F$4:$J$20)&gt;0,1,0)</f>
        <v>1</v>
      </c>
      <c r="G83">
        <f>IF(SUM('F_Input Override'!$F$4:$J$20)&gt;0,1,0)</f>
        <v>1</v>
      </c>
      <c r="H83">
        <f>IF(SUM('F_Input Override'!$F$4:$J$20)&gt;0,1,0)</f>
        <v>1</v>
      </c>
      <c r="I83">
        <f>IF(SUM('F_Input Override'!$F$4:$J$20)&gt;0,1,0)</f>
        <v>1</v>
      </c>
      <c r="J83">
        <f>IF(SUM('F_Input Override'!$F$4:$J$20)&gt;0,1,0)</f>
        <v>1</v>
      </c>
      <c r="K83">
        <f>IF(SUM('F_Input Override'!$F$4:$J$20)&gt;0,1,0)</f>
        <v>1</v>
      </c>
      <c r="L83">
        <f>IF(SUM('F_Input Override'!$F$4:$J$20)&gt;0,1,0)</f>
        <v>1</v>
      </c>
      <c r="M83">
        <f>IF(SUM('F_Input Override'!$F$4:$J$20)&gt;0,1,0)</f>
        <v>1</v>
      </c>
    </row>
    <row r="84" spans="1:13">
      <c r="A84" t="s">
        <v>69</v>
      </c>
      <c r="B84" t="str">
        <f>CONCATENATE("C_", $C$2, "_ENH_W_ASSESSED")</f>
        <v>C_PR24CA46_ENH_W_ASSESSED</v>
      </c>
      <c r="C84" t="str">
        <f>CONCATENATE("Total amount assessed - ", MID($C$5,31,200))</f>
        <v>Total amount assessed - Water - Strategic resource options - Totex</v>
      </c>
      <c r="D84" t="s">
        <v>60</v>
      </c>
      <c r="E84" t="s">
        <v>54</v>
      </c>
      <c r="F84">
        <f xml:space="preserve"> SUMIFS(Allowance!$E$10:$E$26, Allowance!$B$10:$B$26, A84)</f>
        <v>72.279200000000003</v>
      </c>
    </row>
    <row r="85" spans="1:13">
      <c r="A85" t="s">
        <v>70</v>
      </c>
      <c r="B85" t="str">
        <f>CONCATENATE("C_", $C$2, "_ENH_W_TOT")</f>
        <v>C_PR24CA46_ENH_W_TOT</v>
      </c>
      <c r="C85" t="str">
        <f xml:space="preserve"> $C$5</f>
        <v>Total enhancement allowance - Water - Strategic resource options - Totex</v>
      </c>
      <c r="D85" t="s">
        <v>60</v>
      </c>
      <c r="E85" t="s">
        <v>54</v>
      </c>
      <c r="I85">
        <f xml:space="preserve"> SUMIFS('Outputs to aggregator'!D$76:D$92, 'Outputs to aggregator'!$B$76:$B$92, $A85)</f>
        <v>7.0060811759627306</v>
      </c>
      <c r="J85">
        <f xml:space="preserve"> SUMIFS('Outputs to aggregator'!E$76:E$92, 'Outputs to aggregator'!$B$76:$B$92, $A85)</f>
        <v>10.93727116914182</v>
      </c>
      <c r="K85">
        <f xml:space="preserve"> SUMIFS('Outputs to aggregator'!F$76:F$92, 'Outputs to aggregator'!$B$76:$B$92, $A85)</f>
        <v>12.858105091551604</v>
      </c>
      <c r="L85">
        <f xml:space="preserve"> SUMIFS('Outputs to aggregator'!G$76:G$92, 'Outputs to aggregator'!$B$76:$B$92, $A85)</f>
        <v>19.315376575397256</v>
      </c>
      <c r="M85">
        <f xml:space="preserve"> SUMIFS('Outputs to aggregator'!H$76:H$92, 'Outputs to aggregator'!$B$76:$B$92, $A85)</f>
        <v>18.838573828699793</v>
      </c>
    </row>
    <row r="86" spans="1:13">
      <c r="A86" t="s">
        <v>70</v>
      </c>
      <c r="B86" t="str">
        <f>CONCATENATE("C_", $C$2, "_ENH_W_AP")</f>
        <v>C_PR24CA46_ENH_W_AP</v>
      </c>
      <c r="C86" t="str">
        <f xml:space="preserve"> $C$6</f>
        <v>Total enhancement allowance - Water - Strategic resource options - Accelerated programme</v>
      </c>
      <c r="D86" t="s">
        <v>60</v>
      </c>
      <c r="E86" t="s">
        <v>54</v>
      </c>
    </row>
    <row r="87" spans="1:13">
      <c r="A87" t="s">
        <v>70</v>
      </c>
      <c r="B87" t="str">
        <f>CONCATENATE("C_", $C$2, "_ENH_W_TE")</f>
        <v>C_PR24CA46_ENH_W_TE</v>
      </c>
      <c r="C87" t="str">
        <f xml:space="preserve"> $C$7</f>
        <v>Total enhancement allowance - Water - Strategic resource options - Transition allowance</v>
      </c>
      <c r="D87" t="s">
        <v>60</v>
      </c>
      <c r="E87" t="s">
        <v>54</v>
      </c>
    </row>
    <row r="88" spans="1:13">
      <c r="A88" t="s">
        <v>70</v>
      </c>
      <c r="B88" t="str">
        <f xml:space="preserve"> CONCATENATE("PR24QA_",  $C$2, "_OUT1")</f>
        <v>PR24QA_PR24CA46_OUT1</v>
      </c>
      <c r="C88" t="str">
        <f xml:space="preserve"> CONCATENATE("Date &amp; Time for Model - ", $C$2)</f>
        <v>Date &amp; Time for Model - PR24CA46</v>
      </c>
      <c r="D88" t="s">
        <v>380</v>
      </c>
      <c r="E88" t="s">
        <v>54</v>
      </c>
      <c r="F88" t="str">
        <f t="shared" ref="F88:M88" ca="1" si="20">CONCATENATE("[…]", TEXT(NOW(),"dd/mm/yyy hh:mm:ss"))</f>
        <v>[…]17/12/2024 11:22:11</v>
      </c>
      <c r="G88" t="str">
        <f t="shared" ca="1" si="20"/>
        <v>[…]17/12/2024 11:22:11</v>
      </c>
      <c r="H88" t="str">
        <f t="shared" ca="1" si="20"/>
        <v>[…]17/12/2024 11:22:11</v>
      </c>
      <c r="I88" t="str">
        <f t="shared" ca="1" si="20"/>
        <v>[…]17/12/2024 11:22:11</v>
      </c>
      <c r="J88" t="str">
        <f t="shared" ca="1" si="20"/>
        <v>[…]17/12/2024 11:22:11</v>
      </c>
      <c r="K88" t="str">
        <f t="shared" ca="1" si="20"/>
        <v>[…]17/12/2024 11:22:11</v>
      </c>
      <c r="L88" t="str">
        <f t="shared" ca="1" si="20"/>
        <v>[…]17/12/2024 11:22:11</v>
      </c>
      <c r="M88" t="str">
        <f t="shared" ca="1" si="20"/>
        <v>[…]17/12/2024 11:22:11</v>
      </c>
    </row>
    <row r="89" spans="1:13">
      <c r="A89" t="s">
        <v>70</v>
      </c>
      <c r="B89" t="str">
        <f xml:space="preserve"> CONCATENATE("PR24QA_",  $C$2, "_OUT2")</f>
        <v>PR24QA_PR24CA46_OUT2</v>
      </c>
      <c r="C89" t="str">
        <f xml:space="preserve"> CONCATENATE("Name of Model - ", $C$2)</f>
        <v>Name of Model - PR24CA46</v>
      </c>
      <c r="D89" t="s">
        <v>380</v>
      </c>
      <c r="E89" t="s">
        <v>54</v>
      </c>
      <c r="F89" t="e">
        <f t="shared" ref="F89:M89" ca="1" si="21">MID(CELL("filename"),SEARCH("[",CELL("filename"))+1,SEARCH("]",CELL("filename"))-SEARCH("[",CELL("filename"))-1)</f>
        <v>#VALUE!</v>
      </c>
      <c r="G89" t="e">
        <f t="shared" ca="1" si="21"/>
        <v>#VALUE!</v>
      </c>
      <c r="H89" t="e">
        <f t="shared" ca="1" si="21"/>
        <v>#VALUE!</v>
      </c>
      <c r="I89" t="e">
        <f t="shared" ca="1" si="21"/>
        <v>#VALUE!</v>
      </c>
      <c r="J89" t="e">
        <f t="shared" ca="1" si="21"/>
        <v>#VALUE!</v>
      </c>
      <c r="K89" t="e">
        <f t="shared" ca="1" si="21"/>
        <v>#VALUE!</v>
      </c>
      <c r="L89" t="e">
        <f t="shared" ca="1" si="21"/>
        <v>#VALUE!</v>
      </c>
      <c r="M89" t="e">
        <f t="shared" ca="1" si="21"/>
        <v>#VALUE!</v>
      </c>
    </row>
    <row r="90" spans="1:13">
      <c r="A90" t="s">
        <v>70</v>
      </c>
      <c r="B90" t="str">
        <f xml:space="preserve"> CONCATENATE("PR24QA_",  $C$2, "_OUT3")</f>
        <v>PR24QA_PR24CA46_OUT3</v>
      </c>
      <c r="C90" t="str">
        <f xml:space="preserve"> CONCATENATE("F_Inputs time stamp - ", $C$2)</f>
        <v>F_Inputs time stamp - PR24CA46</v>
      </c>
      <c r="D90" t="s">
        <v>380</v>
      </c>
      <c r="E90" t="s">
        <v>54</v>
      </c>
      <c r="F90" t="str">
        <f>'F_Inputs BP'!$E$2</f>
        <v>Run on 09 Oct 2024 16:53</v>
      </c>
      <c r="G90" t="str">
        <f>'F_Inputs BP'!$E$2</f>
        <v>Run on 09 Oct 2024 16:53</v>
      </c>
      <c r="H90" t="str">
        <f>'F_Inputs BP'!$E$2</f>
        <v>Run on 09 Oct 2024 16:53</v>
      </c>
      <c r="I90" t="str">
        <f>'F_Inputs BP'!$E$2</f>
        <v>Run on 09 Oct 2024 16:53</v>
      </c>
      <c r="J90" t="str">
        <f>'F_Inputs BP'!$E$2</f>
        <v>Run on 09 Oct 2024 16:53</v>
      </c>
      <c r="K90" t="str">
        <f>'F_Inputs BP'!$E$2</f>
        <v>Run on 09 Oct 2024 16:53</v>
      </c>
      <c r="L90" t="str">
        <f>'F_Inputs BP'!$E$2</f>
        <v>Run on 09 Oct 2024 16:53</v>
      </c>
      <c r="M90" t="str">
        <f>'F_Inputs BP'!$E$2</f>
        <v>Run on 09 Oct 2024 16:53</v>
      </c>
    </row>
    <row r="91" spans="1:13">
      <c r="A91" t="s">
        <v>70</v>
      </c>
      <c r="B91" t="str">
        <f xml:space="preserve"> CONCATENATE("PR24QA_",  $C$2, "_OUT4")</f>
        <v>PR24QA_PR24CA46_OUT4</v>
      </c>
      <c r="C91" t="str">
        <f xml:space="preserve"> CONCATENATE("Model override switch for - ", $C$2)</f>
        <v>Model override switch for - PR24CA46</v>
      </c>
      <c r="D91" t="s">
        <v>381</v>
      </c>
      <c r="E91" t="s">
        <v>54</v>
      </c>
      <c r="F91">
        <f>IF(SUM('F_Input Override'!$F$4:$J$20)&gt;0,1,0)</f>
        <v>1</v>
      </c>
      <c r="G91">
        <f>IF(SUM('F_Input Override'!$F$4:$J$20)&gt;0,1,0)</f>
        <v>1</v>
      </c>
      <c r="H91">
        <f>IF(SUM('F_Input Override'!$F$4:$J$20)&gt;0,1,0)</f>
        <v>1</v>
      </c>
      <c r="I91">
        <f>IF(SUM('F_Input Override'!$F$4:$J$20)&gt;0,1,0)</f>
        <v>1</v>
      </c>
      <c r="J91">
        <f>IF(SUM('F_Input Override'!$F$4:$J$20)&gt;0,1,0)</f>
        <v>1</v>
      </c>
      <c r="K91">
        <f>IF(SUM('F_Input Override'!$F$4:$J$20)&gt;0,1,0)</f>
        <v>1</v>
      </c>
      <c r="L91">
        <f>IF(SUM('F_Input Override'!$F$4:$J$20)&gt;0,1,0)</f>
        <v>1</v>
      </c>
      <c r="M91">
        <f>IF(SUM('F_Input Override'!$F$4:$J$20)&gt;0,1,0)</f>
        <v>1</v>
      </c>
    </row>
    <row r="92" spans="1:13">
      <c r="A92" t="s">
        <v>70</v>
      </c>
      <c r="B92" t="str">
        <f>CONCATENATE("C_", $C$2, "_ENH_W_ASSESSED")</f>
        <v>C_PR24CA46_ENH_W_ASSESSED</v>
      </c>
      <c r="C92" t="str">
        <f>CONCATENATE("Total amount assessed - ", MID($C$5,31,200))</f>
        <v>Total amount assessed - Water - Strategic resource options - Totex</v>
      </c>
      <c r="D92" t="s">
        <v>60</v>
      </c>
      <c r="E92" t="s">
        <v>54</v>
      </c>
      <c r="F92">
        <f xml:space="preserve"> SUMIFS(Allowance!$E$10:$E$26, Allowance!$B$10:$B$26, A92)</f>
        <v>35.432000000000002</v>
      </c>
    </row>
    <row r="93" spans="1:13">
      <c r="A93" t="s">
        <v>71</v>
      </c>
      <c r="B93" t="str">
        <f>CONCATENATE("C_", $C$2, "_ENH_W_TOT")</f>
        <v>C_PR24CA46_ENH_W_TOT</v>
      </c>
      <c r="C93" t="str">
        <f xml:space="preserve"> $C$5</f>
        <v>Total enhancement allowance - Water - Strategic resource options - Totex</v>
      </c>
      <c r="D93" t="s">
        <v>60</v>
      </c>
      <c r="E93" t="s">
        <v>54</v>
      </c>
      <c r="I93">
        <f xml:space="preserve"> SUMIFS('Outputs to aggregator'!D$76:D$92, 'Outputs to aggregator'!$B$76:$B$92, $A93)</f>
        <v>14.521474514949526</v>
      </c>
      <c r="J93">
        <f xml:space="preserve"> SUMIFS('Outputs to aggregator'!E$76:E$92, 'Outputs to aggregator'!$B$76:$B$92, $A93)</f>
        <v>20.400673241541174</v>
      </c>
      <c r="K93">
        <f xml:space="preserve"> SUMIFS('Outputs to aggregator'!F$76:F$92, 'Outputs to aggregator'!$B$76:$B$92, $A93)</f>
        <v>14.402573482831151</v>
      </c>
      <c r="L93">
        <f xml:space="preserve"> SUMIFS('Outputs to aggregator'!G$76:G$92, 'Outputs to aggregator'!$B$76:$B$92, $A93)</f>
        <v>12.060223150099167</v>
      </c>
      <c r="M93">
        <f xml:space="preserve"> SUMIFS('Outputs to aggregator'!H$76:H$92, 'Outputs to aggregator'!$B$76:$B$92, $A93)</f>
        <v>4.8154918007941845</v>
      </c>
    </row>
    <row r="94" spans="1:13">
      <c r="A94" t="s">
        <v>71</v>
      </c>
      <c r="B94" t="str">
        <f>CONCATENATE("C_", $C$2, "_ENH_W_AP")</f>
        <v>C_PR24CA46_ENH_W_AP</v>
      </c>
      <c r="C94" t="str">
        <f xml:space="preserve"> $C$6</f>
        <v>Total enhancement allowance - Water - Strategic resource options - Accelerated programme</v>
      </c>
      <c r="D94" t="s">
        <v>60</v>
      </c>
      <c r="E94" t="s">
        <v>54</v>
      </c>
    </row>
    <row r="95" spans="1:13">
      <c r="A95" t="s">
        <v>71</v>
      </c>
      <c r="B95" t="str">
        <f>CONCATENATE("C_", $C$2, "_ENH_W_TE")</f>
        <v>C_PR24CA46_ENH_W_TE</v>
      </c>
      <c r="C95" t="str">
        <f xml:space="preserve"> $C$7</f>
        <v>Total enhancement allowance - Water - Strategic resource options - Transition allowance</v>
      </c>
      <c r="D95" t="s">
        <v>60</v>
      </c>
      <c r="E95" t="s">
        <v>54</v>
      </c>
    </row>
    <row r="96" spans="1:13">
      <c r="A96" t="s">
        <v>71</v>
      </c>
      <c r="B96" t="str">
        <f xml:space="preserve"> CONCATENATE("PR24QA_",  $C$2, "_OUT1")</f>
        <v>PR24QA_PR24CA46_OUT1</v>
      </c>
      <c r="C96" t="str">
        <f xml:space="preserve"> CONCATENATE("Date &amp; Time for Model - ", $C$2)</f>
        <v>Date &amp; Time for Model - PR24CA46</v>
      </c>
      <c r="D96" t="s">
        <v>380</v>
      </c>
      <c r="E96" t="s">
        <v>54</v>
      </c>
      <c r="F96" t="str">
        <f t="shared" ref="F96:M96" ca="1" si="22">CONCATENATE("[…]", TEXT(NOW(),"dd/mm/yyy hh:mm:ss"))</f>
        <v>[…]17/12/2024 11:22:11</v>
      </c>
      <c r="G96" t="str">
        <f t="shared" ca="1" si="22"/>
        <v>[…]17/12/2024 11:22:11</v>
      </c>
      <c r="H96" t="str">
        <f t="shared" ca="1" si="22"/>
        <v>[…]17/12/2024 11:22:11</v>
      </c>
      <c r="I96" t="str">
        <f t="shared" ca="1" si="22"/>
        <v>[…]17/12/2024 11:22:11</v>
      </c>
      <c r="J96" t="str">
        <f t="shared" ca="1" si="22"/>
        <v>[…]17/12/2024 11:22:11</v>
      </c>
      <c r="K96" t="str">
        <f t="shared" ca="1" si="22"/>
        <v>[…]17/12/2024 11:22:11</v>
      </c>
      <c r="L96" t="str">
        <f t="shared" ca="1" si="22"/>
        <v>[…]17/12/2024 11:22:11</v>
      </c>
      <c r="M96" t="str">
        <f t="shared" ca="1" si="22"/>
        <v>[…]17/12/2024 11:22:11</v>
      </c>
    </row>
    <row r="97" spans="1:13">
      <c r="A97" t="s">
        <v>71</v>
      </c>
      <c r="B97" t="str">
        <f xml:space="preserve"> CONCATENATE("PR24QA_",  $C$2, "_OUT2")</f>
        <v>PR24QA_PR24CA46_OUT2</v>
      </c>
      <c r="C97" t="str">
        <f xml:space="preserve"> CONCATENATE("Name of Model - ", $C$2)</f>
        <v>Name of Model - PR24CA46</v>
      </c>
      <c r="D97" t="s">
        <v>380</v>
      </c>
      <c r="E97" t="s">
        <v>54</v>
      </c>
      <c r="F97" t="e">
        <f t="shared" ref="F97:M97" ca="1" si="23">MID(CELL("filename"),SEARCH("[",CELL("filename"))+1,SEARCH("]",CELL("filename"))-SEARCH("[",CELL("filename"))-1)</f>
        <v>#VALUE!</v>
      </c>
      <c r="G97" t="e">
        <f t="shared" ca="1" si="23"/>
        <v>#VALUE!</v>
      </c>
      <c r="H97" t="e">
        <f t="shared" ca="1" si="23"/>
        <v>#VALUE!</v>
      </c>
      <c r="I97" t="e">
        <f t="shared" ca="1" si="23"/>
        <v>#VALUE!</v>
      </c>
      <c r="J97" t="e">
        <f t="shared" ca="1" si="23"/>
        <v>#VALUE!</v>
      </c>
      <c r="K97" t="e">
        <f t="shared" ca="1" si="23"/>
        <v>#VALUE!</v>
      </c>
      <c r="L97" t="e">
        <f t="shared" ca="1" si="23"/>
        <v>#VALUE!</v>
      </c>
      <c r="M97" t="e">
        <f t="shared" ca="1" si="23"/>
        <v>#VALUE!</v>
      </c>
    </row>
    <row r="98" spans="1:13">
      <c r="A98" t="s">
        <v>71</v>
      </c>
      <c r="B98" t="str">
        <f xml:space="preserve"> CONCATENATE("PR24QA_",  $C$2, "_OUT3")</f>
        <v>PR24QA_PR24CA46_OUT3</v>
      </c>
      <c r="C98" t="str">
        <f xml:space="preserve"> CONCATENATE("F_Inputs time stamp - ", $C$2)</f>
        <v>F_Inputs time stamp - PR24CA46</v>
      </c>
      <c r="D98" t="s">
        <v>380</v>
      </c>
      <c r="E98" t="s">
        <v>54</v>
      </c>
      <c r="F98" t="str">
        <f>'F_Inputs BP'!$E$2</f>
        <v>Run on 09 Oct 2024 16:53</v>
      </c>
      <c r="G98" t="str">
        <f>'F_Inputs BP'!$E$2</f>
        <v>Run on 09 Oct 2024 16:53</v>
      </c>
      <c r="H98" t="str">
        <f>'F_Inputs BP'!$E$2</f>
        <v>Run on 09 Oct 2024 16:53</v>
      </c>
      <c r="I98" t="str">
        <f>'F_Inputs BP'!$E$2</f>
        <v>Run on 09 Oct 2024 16:53</v>
      </c>
      <c r="J98" t="str">
        <f>'F_Inputs BP'!$E$2</f>
        <v>Run on 09 Oct 2024 16:53</v>
      </c>
      <c r="K98" t="str">
        <f>'F_Inputs BP'!$E$2</f>
        <v>Run on 09 Oct 2024 16:53</v>
      </c>
      <c r="L98" t="str">
        <f>'F_Inputs BP'!$E$2</f>
        <v>Run on 09 Oct 2024 16:53</v>
      </c>
      <c r="M98" t="str">
        <f>'F_Inputs BP'!$E$2</f>
        <v>Run on 09 Oct 2024 16:53</v>
      </c>
    </row>
    <row r="99" spans="1:13">
      <c r="A99" t="s">
        <v>71</v>
      </c>
      <c r="B99" t="str">
        <f xml:space="preserve"> CONCATENATE("PR24QA_",  $C$2, "_OUT4")</f>
        <v>PR24QA_PR24CA46_OUT4</v>
      </c>
      <c r="C99" t="str">
        <f xml:space="preserve"> CONCATENATE("Model override switch for - ", $C$2)</f>
        <v>Model override switch for - PR24CA46</v>
      </c>
      <c r="D99" t="s">
        <v>381</v>
      </c>
      <c r="E99" t="s">
        <v>54</v>
      </c>
      <c r="F99">
        <f>IF(SUM('F_Input Override'!$F$4:$J$20)&gt;0,1,0)</f>
        <v>1</v>
      </c>
      <c r="G99">
        <f>IF(SUM('F_Input Override'!$F$4:$J$20)&gt;0,1,0)</f>
        <v>1</v>
      </c>
      <c r="H99">
        <f>IF(SUM('F_Input Override'!$F$4:$J$20)&gt;0,1,0)</f>
        <v>1</v>
      </c>
      <c r="I99">
        <f>IF(SUM('F_Input Override'!$F$4:$J$20)&gt;0,1,0)</f>
        <v>1</v>
      </c>
      <c r="J99">
        <f>IF(SUM('F_Input Override'!$F$4:$J$20)&gt;0,1,0)</f>
        <v>1</v>
      </c>
      <c r="K99">
        <f>IF(SUM('F_Input Override'!$F$4:$J$20)&gt;0,1,0)</f>
        <v>1</v>
      </c>
      <c r="L99">
        <f>IF(SUM('F_Input Override'!$F$4:$J$20)&gt;0,1,0)</f>
        <v>1</v>
      </c>
      <c r="M99">
        <f>IF(SUM('F_Input Override'!$F$4:$J$20)&gt;0,1,0)</f>
        <v>1</v>
      </c>
    </row>
    <row r="100" spans="1:13">
      <c r="A100" t="s">
        <v>71</v>
      </c>
      <c r="B100" t="str">
        <f>CONCATENATE("C_", $C$2, "_ENH_W_ASSESSED")</f>
        <v>C_PR24CA46_ENH_W_ASSESSED</v>
      </c>
      <c r="C100" t="str">
        <f>CONCATENATE("Total amount assessed - ", MID($C$5,31,200))</f>
        <v>Total amount assessed - Water - Strategic resource options - Totex</v>
      </c>
      <c r="D100" t="s">
        <v>60</v>
      </c>
      <c r="E100" t="s">
        <v>54</v>
      </c>
      <c r="F100">
        <f xml:space="preserve"> SUMIFS(Allowance!$E$10:$E$26, Allowance!$B$10:$B$26, A100)</f>
        <v>72.38000000000001</v>
      </c>
    </row>
    <row r="101" spans="1:13">
      <c r="A101" t="s">
        <v>72</v>
      </c>
      <c r="B101" t="str">
        <f>CONCATENATE("C_", $C$2, "_ENH_W_TOT")</f>
        <v>C_PR24CA46_ENH_W_TOT</v>
      </c>
      <c r="C101" t="str">
        <f xml:space="preserve"> $C$5</f>
        <v>Total enhancement allowance - Water - Strategic resource options - Totex</v>
      </c>
      <c r="D101" t="s">
        <v>60</v>
      </c>
      <c r="E101" t="s">
        <v>54</v>
      </c>
      <c r="I101">
        <f xml:space="preserve"> SUMIFS('Outputs to aggregator'!D$76:D$92, 'Outputs to aggregator'!$B$76:$B$92, $A101)</f>
        <v>0</v>
      </c>
      <c r="J101">
        <f xml:space="preserve"> SUMIFS('Outputs to aggregator'!E$76:E$92, 'Outputs to aggregator'!$B$76:$B$92, $A101)</f>
        <v>0</v>
      </c>
      <c r="K101">
        <f xml:space="preserve"> SUMIFS('Outputs to aggregator'!F$76:F$92, 'Outputs to aggregator'!$B$76:$B$92, $A101)</f>
        <v>0</v>
      </c>
      <c r="L101">
        <f xml:space="preserve"> SUMIFS('Outputs to aggregator'!G$76:G$92, 'Outputs to aggregator'!$B$76:$B$92, $A101)</f>
        <v>0</v>
      </c>
      <c r="M101">
        <f xml:space="preserve"> SUMIFS('Outputs to aggregator'!H$76:H$92, 'Outputs to aggregator'!$B$76:$B$92, $A101)</f>
        <v>0</v>
      </c>
    </row>
    <row r="102" spans="1:13">
      <c r="A102" t="s">
        <v>72</v>
      </c>
      <c r="B102" t="str">
        <f>CONCATENATE("C_", $C$2, "_ENH_W_AP")</f>
        <v>C_PR24CA46_ENH_W_AP</v>
      </c>
      <c r="C102" t="str">
        <f xml:space="preserve"> $C$6</f>
        <v>Total enhancement allowance - Water - Strategic resource options - Accelerated programme</v>
      </c>
      <c r="D102" t="s">
        <v>60</v>
      </c>
      <c r="E102" t="s">
        <v>54</v>
      </c>
    </row>
    <row r="103" spans="1:13">
      <c r="A103" t="s">
        <v>72</v>
      </c>
      <c r="B103" t="str">
        <f>CONCATENATE("C_", $C$2, "_ENH_W_TE")</f>
        <v>C_PR24CA46_ENH_W_TE</v>
      </c>
      <c r="C103" t="str">
        <f xml:space="preserve"> $C$7</f>
        <v>Total enhancement allowance - Water - Strategic resource options - Transition allowance</v>
      </c>
      <c r="D103" t="s">
        <v>60</v>
      </c>
      <c r="E103" t="s">
        <v>54</v>
      </c>
    </row>
    <row r="104" spans="1:13">
      <c r="A104" t="s">
        <v>72</v>
      </c>
      <c r="B104" t="str">
        <f xml:space="preserve"> CONCATENATE("PR24QA_",  $C$2, "_OUT1")</f>
        <v>PR24QA_PR24CA46_OUT1</v>
      </c>
      <c r="C104" t="str">
        <f xml:space="preserve"> CONCATENATE("Date &amp; Time for Model - ", $C$2)</f>
        <v>Date &amp; Time for Model - PR24CA46</v>
      </c>
      <c r="D104" t="s">
        <v>380</v>
      </c>
      <c r="E104" t="s">
        <v>54</v>
      </c>
      <c r="F104" t="str">
        <f t="shared" ref="F104:M104" ca="1" si="24">CONCATENATE("[…]", TEXT(NOW(),"dd/mm/yyy hh:mm:ss"))</f>
        <v>[…]17/12/2024 11:22:11</v>
      </c>
      <c r="G104" t="str">
        <f t="shared" ca="1" si="24"/>
        <v>[…]17/12/2024 11:22:11</v>
      </c>
      <c r="H104" t="str">
        <f t="shared" ca="1" si="24"/>
        <v>[…]17/12/2024 11:22:11</v>
      </c>
      <c r="I104" t="str">
        <f t="shared" ca="1" si="24"/>
        <v>[…]17/12/2024 11:22:11</v>
      </c>
      <c r="J104" t="str">
        <f t="shared" ca="1" si="24"/>
        <v>[…]17/12/2024 11:22:11</v>
      </c>
      <c r="K104" t="str">
        <f t="shared" ca="1" si="24"/>
        <v>[…]17/12/2024 11:22:11</v>
      </c>
      <c r="L104" t="str">
        <f t="shared" ca="1" si="24"/>
        <v>[…]17/12/2024 11:22:11</v>
      </c>
      <c r="M104" t="str">
        <f t="shared" ca="1" si="24"/>
        <v>[…]17/12/2024 11:22:11</v>
      </c>
    </row>
    <row r="105" spans="1:13">
      <c r="A105" t="s">
        <v>72</v>
      </c>
      <c r="B105" t="str">
        <f xml:space="preserve"> CONCATENATE("PR24QA_",  $C$2, "_OUT2")</f>
        <v>PR24QA_PR24CA46_OUT2</v>
      </c>
      <c r="C105" t="str">
        <f xml:space="preserve"> CONCATENATE("Name of Model - ", $C$2)</f>
        <v>Name of Model - PR24CA46</v>
      </c>
      <c r="D105" t="s">
        <v>380</v>
      </c>
      <c r="E105" t="s">
        <v>54</v>
      </c>
      <c r="F105" t="e">
        <f t="shared" ref="F105:M105" ca="1" si="25">MID(CELL("filename"),SEARCH("[",CELL("filename"))+1,SEARCH("]",CELL("filename"))-SEARCH("[",CELL("filename"))-1)</f>
        <v>#VALUE!</v>
      </c>
      <c r="G105" t="e">
        <f t="shared" ca="1" si="25"/>
        <v>#VALUE!</v>
      </c>
      <c r="H105" t="e">
        <f t="shared" ca="1" si="25"/>
        <v>#VALUE!</v>
      </c>
      <c r="I105" t="e">
        <f t="shared" ca="1" si="25"/>
        <v>#VALUE!</v>
      </c>
      <c r="J105" t="e">
        <f t="shared" ca="1" si="25"/>
        <v>#VALUE!</v>
      </c>
      <c r="K105" t="e">
        <f t="shared" ca="1" si="25"/>
        <v>#VALUE!</v>
      </c>
      <c r="L105" t="e">
        <f t="shared" ca="1" si="25"/>
        <v>#VALUE!</v>
      </c>
      <c r="M105" t="e">
        <f t="shared" ca="1" si="25"/>
        <v>#VALUE!</v>
      </c>
    </row>
    <row r="106" spans="1:13">
      <c r="A106" t="s">
        <v>72</v>
      </c>
      <c r="B106" t="str">
        <f xml:space="preserve"> CONCATENATE("PR24QA_",  $C$2, "_OUT3")</f>
        <v>PR24QA_PR24CA46_OUT3</v>
      </c>
      <c r="C106" t="str">
        <f xml:space="preserve"> CONCATENATE("F_Inputs time stamp - ", $C$2)</f>
        <v>F_Inputs time stamp - PR24CA46</v>
      </c>
      <c r="D106" t="s">
        <v>380</v>
      </c>
      <c r="E106" t="s">
        <v>54</v>
      </c>
      <c r="F106" t="str">
        <f>'F_Inputs BP'!$E$2</f>
        <v>Run on 09 Oct 2024 16:53</v>
      </c>
      <c r="G106" t="str">
        <f>'F_Inputs BP'!$E$2</f>
        <v>Run on 09 Oct 2024 16:53</v>
      </c>
      <c r="H106" t="str">
        <f>'F_Inputs BP'!$E$2</f>
        <v>Run on 09 Oct 2024 16:53</v>
      </c>
      <c r="I106" t="str">
        <f>'F_Inputs BP'!$E$2</f>
        <v>Run on 09 Oct 2024 16:53</v>
      </c>
      <c r="J106" t="str">
        <f>'F_Inputs BP'!$E$2</f>
        <v>Run on 09 Oct 2024 16:53</v>
      </c>
      <c r="K106" t="str">
        <f>'F_Inputs BP'!$E$2</f>
        <v>Run on 09 Oct 2024 16:53</v>
      </c>
      <c r="L106" t="str">
        <f>'F_Inputs BP'!$E$2</f>
        <v>Run on 09 Oct 2024 16:53</v>
      </c>
      <c r="M106" t="str">
        <f>'F_Inputs BP'!$E$2</f>
        <v>Run on 09 Oct 2024 16:53</v>
      </c>
    </row>
    <row r="107" spans="1:13">
      <c r="A107" t="s">
        <v>72</v>
      </c>
      <c r="B107" t="str">
        <f xml:space="preserve"> CONCATENATE("PR24QA_",  $C$2, "_OUT4")</f>
        <v>PR24QA_PR24CA46_OUT4</v>
      </c>
      <c r="C107" t="str">
        <f xml:space="preserve"> CONCATENATE("Model override switch for - ", $C$2)</f>
        <v>Model override switch for - PR24CA46</v>
      </c>
      <c r="D107" t="s">
        <v>381</v>
      </c>
      <c r="E107" t="s">
        <v>54</v>
      </c>
      <c r="F107">
        <f>IF(SUM('F_Input Override'!$F$4:$J$20)&gt;0,1,0)</f>
        <v>1</v>
      </c>
      <c r="G107">
        <f>IF(SUM('F_Input Override'!$F$4:$J$20)&gt;0,1,0)</f>
        <v>1</v>
      </c>
      <c r="H107">
        <f>IF(SUM('F_Input Override'!$F$4:$J$20)&gt;0,1,0)</f>
        <v>1</v>
      </c>
      <c r="I107">
        <f>IF(SUM('F_Input Override'!$F$4:$J$20)&gt;0,1,0)</f>
        <v>1</v>
      </c>
      <c r="J107">
        <f>IF(SUM('F_Input Override'!$F$4:$J$20)&gt;0,1,0)</f>
        <v>1</v>
      </c>
      <c r="K107">
        <f>IF(SUM('F_Input Override'!$F$4:$J$20)&gt;0,1,0)</f>
        <v>1</v>
      </c>
      <c r="L107">
        <f>IF(SUM('F_Input Override'!$F$4:$J$20)&gt;0,1,0)</f>
        <v>1</v>
      </c>
      <c r="M107">
        <f>IF(SUM('F_Input Override'!$F$4:$J$20)&gt;0,1,0)</f>
        <v>1</v>
      </c>
    </row>
    <row r="108" spans="1:13">
      <c r="A108" t="s">
        <v>72</v>
      </c>
      <c r="B108" t="str">
        <f>CONCATENATE("C_", $C$2, "_ENH_W_ASSESSED")</f>
        <v>C_PR24CA46_ENH_W_ASSESSED</v>
      </c>
      <c r="C108" t="str">
        <f>CONCATENATE("Total amount assessed - ", MID($C$5,31,200))</f>
        <v>Total amount assessed - Water - Strategic resource options - Totex</v>
      </c>
      <c r="D108" t="s">
        <v>60</v>
      </c>
      <c r="E108" t="s">
        <v>54</v>
      </c>
      <c r="F108">
        <f xml:space="preserve"> SUMIFS(Allowance!$E$10:$E$26, Allowance!$B$10:$B$26, A108)</f>
        <v>0</v>
      </c>
    </row>
    <row r="109" spans="1:13">
      <c r="A109" t="s">
        <v>73</v>
      </c>
      <c r="B109" t="str">
        <f>CONCATENATE("C_", $C$2, "_ENH_W_TOT")</f>
        <v>C_PR24CA46_ENH_W_TOT</v>
      </c>
      <c r="C109" t="str">
        <f xml:space="preserve"> $C$5</f>
        <v>Total enhancement allowance - Water - Strategic resource options - Totex</v>
      </c>
      <c r="D109" t="s">
        <v>60</v>
      </c>
      <c r="E109" t="s">
        <v>54</v>
      </c>
      <c r="I109">
        <f xml:space="preserve"> SUMIFS('Outputs to aggregator'!D$76:D$92, 'Outputs to aggregator'!$B$76:$B$92, $A109)</f>
        <v>0</v>
      </c>
      <c r="J109">
        <f xml:space="preserve"> SUMIFS('Outputs to aggregator'!E$76:E$92, 'Outputs to aggregator'!$B$76:$B$92, $A109)</f>
        <v>0</v>
      </c>
      <c r="K109">
        <f xml:space="preserve"> SUMIFS('Outputs to aggregator'!F$76:F$92, 'Outputs to aggregator'!$B$76:$B$92, $A109)</f>
        <v>0</v>
      </c>
      <c r="L109">
        <f xml:space="preserve"> SUMIFS('Outputs to aggregator'!G$76:G$92, 'Outputs to aggregator'!$B$76:$B$92, $A109)</f>
        <v>0</v>
      </c>
      <c r="M109">
        <f xml:space="preserve"> SUMIFS('Outputs to aggregator'!H$76:H$92, 'Outputs to aggregator'!$B$76:$B$92, $A109)</f>
        <v>0</v>
      </c>
    </row>
    <row r="110" spans="1:13">
      <c r="A110" t="s">
        <v>73</v>
      </c>
      <c r="B110" t="str">
        <f>CONCATENATE("C_", $C$2, "_ENH_W_AP")</f>
        <v>C_PR24CA46_ENH_W_AP</v>
      </c>
      <c r="C110" t="str">
        <f xml:space="preserve"> $C$6</f>
        <v>Total enhancement allowance - Water - Strategic resource options - Accelerated programme</v>
      </c>
      <c r="D110" t="s">
        <v>60</v>
      </c>
      <c r="E110" t="s">
        <v>54</v>
      </c>
    </row>
    <row r="111" spans="1:13">
      <c r="A111" t="s">
        <v>73</v>
      </c>
      <c r="B111" t="str">
        <f>CONCATENATE("C_", $C$2, "_ENH_W_TE")</f>
        <v>C_PR24CA46_ENH_W_TE</v>
      </c>
      <c r="C111" t="str">
        <f xml:space="preserve"> $C$7</f>
        <v>Total enhancement allowance - Water - Strategic resource options - Transition allowance</v>
      </c>
      <c r="D111" t="s">
        <v>60</v>
      </c>
      <c r="E111" t="s">
        <v>54</v>
      </c>
    </row>
    <row r="112" spans="1:13">
      <c r="A112" t="s">
        <v>73</v>
      </c>
      <c r="B112" t="str">
        <f xml:space="preserve"> CONCATENATE("PR24QA_",  $C$2, "_OUT1")</f>
        <v>PR24QA_PR24CA46_OUT1</v>
      </c>
      <c r="C112" t="str">
        <f xml:space="preserve"> CONCATENATE("Date &amp; Time for Model - ", $C$2)</f>
        <v>Date &amp; Time for Model - PR24CA46</v>
      </c>
      <c r="D112" t="s">
        <v>380</v>
      </c>
      <c r="E112" t="s">
        <v>54</v>
      </c>
      <c r="F112" t="str">
        <f t="shared" ref="F112:M112" ca="1" si="26">CONCATENATE("[…]", TEXT(NOW(),"dd/mm/yyy hh:mm:ss"))</f>
        <v>[…]17/12/2024 11:22:11</v>
      </c>
      <c r="G112" t="str">
        <f t="shared" ca="1" si="26"/>
        <v>[…]17/12/2024 11:22:11</v>
      </c>
      <c r="H112" t="str">
        <f t="shared" ca="1" si="26"/>
        <v>[…]17/12/2024 11:22:11</v>
      </c>
      <c r="I112" t="str">
        <f t="shared" ca="1" si="26"/>
        <v>[…]17/12/2024 11:22:11</v>
      </c>
      <c r="J112" t="str">
        <f t="shared" ca="1" si="26"/>
        <v>[…]17/12/2024 11:22:11</v>
      </c>
      <c r="K112" t="str">
        <f t="shared" ca="1" si="26"/>
        <v>[…]17/12/2024 11:22:11</v>
      </c>
      <c r="L112" t="str">
        <f t="shared" ca="1" si="26"/>
        <v>[…]17/12/2024 11:22:11</v>
      </c>
      <c r="M112" t="str">
        <f t="shared" ca="1" si="26"/>
        <v>[…]17/12/2024 11:22:11</v>
      </c>
    </row>
    <row r="113" spans="1:13">
      <c r="A113" t="s">
        <v>73</v>
      </c>
      <c r="B113" t="str">
        <f xml:space="preserve"> CONCATENATE("PR24QA_",  $C$2, "_OUT2")</f>
        <v>PR24QA_PR24CA46_OUT2</v>
      </c>
      <c r="C113" t="str">
        <f xml:space="preserve"> CONCATENATE("Name of Model - ", $C$2)</f>
        <v>Name of Model - PR24CA46</v>
      </c>
      <c r="D113" t="s">
        <v>380</v>
      </c>
      <c r="E113" t="s">
        <v>54</v>
      </c>
      <c r="F113" t="e">
        <f t="shared" ref="F113:M113" ca="1" si="27">MID(CELL("filename"),SEARCH("[",CELL("filename"))+1,SEARCH("]",CELL("filename"))-SEARCH("[",CELL("filename"))-1)</f>
        <v>#VALUE!</v>
      </c>
      <c r="G113" t="e">
        <f t="shared" ca="1" si="27"/>
        <v>#VALUE!</v>
      </c>
      <c r="H113" t="e">
        <f t="shared" ca="1" si="27"/>
        <v>#VALUE!</v>
      </c>
      <c r="I113" t="e">
        <f t="shared" ca="1" si="27"/>
        <v>#VALUE!</v>
      </c>
      <c r="J113" t="e">
        <f t="shared" ca="1" si="27"/>
        <v>#VALUE!</v>
      </c>
      <c r="K113" t="e">
        <f t="shared" ca="1" si="27"/>
        <v>#VALUE!</v>
      </c>
      <c r="L113" t="e">
        <f t="shared" ca="1" si="27"/>
        <v>#VALUE!</v>
      </c>
      <c r="M113" t="e">
        <f t="shared" ca="1" si="27"/>
        <v>#VALUE!</v>
      </c>
    </row>
    <row r="114" spans="1:13">
      <c r="A114" t="s">
        <v>73</v>
      </c>
      <c r="B114" t="str">
        <f xml:space="preserve"> CONCATENATE("PR24QA_",  $C$2, "_OUT3")</f>
        <v>PR24QA_PR24CA46_OUT3</v>
      </c>
      <c r="C114" t="str">
        <f xml:space="preserve"> CONCATENATE("F_Inputs time stamp - ", $C$2)</f>
        <v>F_Inputs time stamp - PR24CA46</v>
      </c>
      <c r="D114" t="s">
        <v>380</v>
      </c>
      <c r="E114" t="s">
        <v>54</v>
      </c>
      <c r="F114" t="str">
        <f>'F_Inputs BP'!$E$2</f>
        <v>Run on 09 Oct 2024 16:53</v>
      </c>
      <c r="G114" t="str">
        <f>'F_Inputs BP'!$E$2</f>
        <v>Run on 09 Oct 2024 16:53</v>
      </c>
      <c r="H114" t="str">
        <f>'F_Inputs BP'!$E$2</f>
        <v>Run on 09 Oct 2024 16:53</v>
      </c>
      <c r="I114" t="str">
        <f>'F_Inputs BP'!$E$2</f>
        <v>Run on 09 Oct 2024 16:53</v>
      </c>
      <c r="J114" t="str">
        <f>'F_Inputs BP'!$E$2</f>
        <v>Run on 09 Oct 2024 16:53</v>
      </c>
      <c r="K114" t="str">
        <f>'F_Inputs BP'!$E$2</f>
        <v>Run on 09 Oct 2024 16:53</v>
      </c>
      <c r="L114" t="str">
        <f>'F_Inputs BP'!$E$2</f>
        <v>Run on 09 Oct 2024 16:53</v>
      </c>
      <c r="M114" t="str">
        <f>'F_Inputs BP'!$E$2</f>
        <v>Run on 09 Oct 2024 16:53</v>
      </c>
    </row>
    <row r="115" spans="1:13">
      <c r="A115" t="s">
        <v>73</v>
      </c>
      <c r="B115" t="str">
        <f xml:space="preserve"> CONCATENATE("PR24QA_",  $C$2, "_OUT4")</f>
        <v>PR24QA_PR24CA46_OUT4</v>
      </c>
      <c r="C115" t="str">
        <f xml:space="preserve"> CONCATENATE("Model override switch for - ", $C$2)</f>
        <v>Model override switch for - PR24CA46</v>
      </c>
      <c r="D115" t="s">
        <v>381</v>
      </c>
      <c r="E115" t="s">
        <v>54</v>
      </c>
      <c r="F115">
        <f>IF(SUM('F_Input Override'!$F$4:$J$20)&gt;0,1,0)</f>
        <v>1</v>
      </c>
      <c r="G115">
        <f>IF(SUM('F_Input Override'!$F$4:$J$20)&gt;0,1,0)</f>
        <v>1</v>
      </c>
      <c r="H115">
        <f>IF(SUM('F_Input Override'!$F$4:$J$20)&gt;0,1,0)</f>
        <v>1</v>
      </c>
      <c r="I115">
        <f>IF(SUM('F_Input Override'!$F$4:$J$20)&gt;0,1,0)</f>
        <v>1</v>
      </c>
      <c r="J115">
        <f>IF(SUM('F_Input Override'!$F$4:$J$20)&gt;0,1,0)</f>
        <v>1</v>
      </c>
      <c r="K115">
        <f>IF(SUM('F_Input Override'!$F$4:$J$20)&gt;0,1,0)</f>
        <v>1</v>
      </c>
      <c r="L115">
        <f>IF(SUM('F_Input Override'!$F$4:$J$20)&gt;0,1,0)</f>
        <v>1</v>
      </c>
      <c r="M115">
        <f>IF(SUM('F_Input Override'!$F$4:$J$20)&gt;0,1,0)</f>
        <v>1</v>
      </c>
    </row>
    <row r="116" spans="1:13">
      <c r="A116" t="s">
        <v>73</v>
      </c>
      <c r="B116" t="str">
        <f>CONCATENATE("C_", $C$2, "_ENH_W_ASSESSED")</f>
        <v>C_PR24CA46_ENH_W_ASSESSED</v>
      </c>
      <c r="C116" t="str">
        <f>CONCATENATE("Total amount assessed - ", MID($C$5,31,200))</f>
        <v>Total amount assessed - Water - Strategic resource options - Totex</v>
      </c>
      <c r="D116" t="s">
        <v>60</v>
      </c>
      <c r="E116" t="s">
        <v>54</v>
      </c>
      <c r="F116">
        <f xml:space="preserve"> SUMIFS(Allowance!$E$10:$E$26, Allowance!$B$10:$B$26, A116)</f>
        <v>0</v>
      </c>
    </row>
    <row r="117" spans="1:13">
      <c r="A117" t="s">
        <v>74</v>
      </c>
      <c r="B117" t="str">
        <f>CONCATENATE("C_", $C$2, "_ENH_W_TOT")</f>
        <v>C_PR24CA46_ENH_W_TOT</v>
      </c>
      <c r="C117" t="str">
        <f xml:space="preserve"> $C$5</f>
        <v>Total enhancement allowance - Water - Strategic resource options - Totex</v>
      </c>
      <c r="D117" t="s">
        <v>60</v>
      </c>
      <c r="E117" t="s">
        <v>54</v>
      </c>
      <c r="I117">
        <f xml:space="preserve"> SUMIFS('Outputs to aggregator'!D$76:D$92, 'Outputs to aggregator'!$B$76:$B$92, $A117)</f>
        <v>16.264072153229606</v>
      </c>
      <c r="J117">
        <f xml:space="preserve"> SUMIFS('Outputs to aggregator'!E$76:E$92, 'Outputs to aggregator'!$B$76:$B$92, $A117)</f>
        <v>13.51526298183556</v>
      </c>
      <c r="K117">
        <f xml:space="preserve"> SUMIFS('Outputs to aggregator'!F$76:F$92, 'Outputs to aggregator'!$B$76:$B$92, $A117)</f>
        <v>9.1740794705739095</v>
      </c>
      <c r="L117">
        <f xml:space="preserve"> SUMIFS('Outputs to aggregator'!G$76:G$92, 'Outputs to aggregator'!$B$76:$B$92, $A117)</f>
        <v>6.7633226072146622</v>
      </c>
      <c r="M117">
        <f xml:space="preserve"> SUMIFS('Outputs to aggregator'!H$76:H$92, 'Outputs to aggregator'!$B$76:$B$92, $A117)</f>
        <v>26.594586455329956</v>
      </c>
    </row>
    <row r="118" spans="1:13">
      <c r="A118" t="s">
        <v>74</v>
      </c>
      <c r="B118" t="str">
        <f>CONCATENATE("C_", $C$2, "_ENH_W_AP")</f>
        <v>C_PR24CA46_ENH_W_AP</v>
      </c>
      <c r="C118" t="str">
        <f xml:space="preserve"> $C$6</f>
        <v>Total enhancement allowance - Water - Strategic resource options - Accelerated programme</v>
      </c>
      <c r="D118" t="s">
        <v>60</v>
      </c>
      <c r="E118" t="s">
        <v>54</v>
      </c>
    </row>
    <row r="119" spans="1:13">
      <c r="A119" t="s">
        <v>74</v>
      </c>
      <c r="B119" t="str">
        <f>CONCATENATE("C_", $C$2, "_ENH_W_TE")</f>
        <v>C_PR24CA46_ENH_W_TE</v>
      </c>
      <c r="C119" t="str">
        <f xml:space="preserve"> $C$7</f>
        <v>Total enhancement allowance - Water - Strategic resource options - Transition allowance</v>
      </c>
      <c r="D119" t="s">
        <v>60</v>
      </c>
      <c r="E119" t="s">
        <v>54</v>
      </c>
    </row>
    <row r="120" spans="1:13">
      <c r="A120" t="s">
        <v>74</v>
      </c>
      <c r="B120" t="str">
        <f xml:space="preserve"> CONCATENATE("PR24QA_",  $C$2, "_OUT1")</f>
        <v>PR24QA_PR24CA46_OUT1</v>
      </c>
      <c r="C120" t="str">
        <f xml:space="preserve"> CONCATENATE("Date &amp; Time for Model - ", $C$2)</f>
        <v>Date &amp; Time for Model - PR24CA46</v>
      </c>
      <c r="D120" t="s">
        <v>380</v>
      </c>
      <c r="E120" t="s">
        <v>54</v>
      </c>
      <c r="F120" t="str">
        <f t="shared" ref="F120:M120" ca="1" si="28">CONCATENATE("[…]", TEXT(NOW(),"dd/mm/yyy hh:mm:ss"))</f>
        <v>[…]17/12/2024 11:22:11</v>
      </c>
      <c r="G120" t="str">
        <f t="shared" ca="1" si="28"/>
        <v>[…]17/12/2024 11:22:11</v>
      </c>
      <c r="H120" t="str">
        <f t="shared" ca="1" si="28"/>
        <v>[…]17/12/2024 11:22:11</v>
      </c>
      <c r="I120" t="str">
        <f t="shared" ca="1" si="28"/>
        <v>[…]17/12/2024 11:22:11</v>
      </c>
      <c r="J120" t="str">
        <f t="shared" ca="1" si="28"/>
        <v>[…]17/12/2024 11:22:11</v>
      </c>
      <c r="K120" t="str">
        <f t="shared" ca="1" si="28"/>
        <v>[…]17/12/2024 11:22:11</v>
      </c>
      <c r="L120" t="str">
        <f t="shared" ca="1" si="28"/>
        <v>[…]17/12/2024 11:22:11</v>
      </c>
      <c r="M120" t="str">
        <f t="shared" ca="1" si="28"/>
        <v>[…]17/12/2024 11:22:11</v>
      </c>
    </row>
    <row r="121" spans="1:13">
      <c r="A121" t="s">
        <v>74</v>
      </c>
      <c r="B121" t="str">
        <f xml:space="preserve"> CONCATENATE("PR24QA_",  $C$2, "_OUT2")</f>
        <v>PR24QA_PR24CA46_OUT2</v>
      </c>
      <c r="C121" t="str">
        <f xml:space="preserve"> CONCATENATE("Name of Model - ", $C$2)</f>
        <v>Name of Model - PR24CA46</v>
      </c>
      <c r="D121" t="s">
        <v>380</v>
      </c>
      <c r="E121" t="s">
        <v>54</v>
      </c>
      <c r="F121" t="e">
        <f t="shared" ref="F121:M121" ca="1" si="29">MID(CELL("filename"),SEARCH("[",CELL("filename"))+1,SEARCH("]",CELL("filename"))-SEARCH("[",CELL("filename"))-1)</f>
        <v>#VALUE!</v>
      </c>
      <c r="G121" t="e">
        <f t="shared" ca="1" si="29"/>
        <v>#VALUE!</v>
      </c>
      <c r="H121" t="e">
        <f t="shared" ca="1" si="29"/>
        <v>#VALUE!</v>
      </c>
      <c r="I121" t="e">
        <f t="shared" ca="1" si="29"/>
        <v>#VALUE!</v>
      </c>
      <c r="J121" t="e">
        <f t="shared" ca="1" si="29"/>
        <v>#VALUE!</v>
      </c>
      <c r="K121" t="e">
        <f t="shared" ca="1" si="29"/>
        <v>#VALUE!</v>
      </c>
      <c r="L121" t="e">
        <f t="shared" ca="1" si="29"/>
        <v>#VALUE!</v>
      </c>
      <c r="M121" t="e">
        <f t="shared" ca="1" si="29"/>
        <v>#VALUE!</v>
      </c>
    </row>
    <row r="122" spans="1:13">
      <c r="A122" t="s">
        <v>74</v>
      </c>
      <c r="B122" t="str">
        <f xml:space="preserve"> CONCATENATE("PR24QA_",  $C$2, "_OUT3")</f>
        <v>PR24QA_PR24CA46_OUT3</v>
      </c>
      <c r="C122" t="str">
        <f xml:space="preserve"> CONCATENATE("F_Inputs time stamp - ", $C$2)</f>
        <v>F_Inputs time stamp - PR24CA46</v>
      </c>
      <c r="D122" t="s">
        <v>380</v>
      </c>
      <c r="E122" t="s">
        <v>54</v>
      </c>
      <c r="F122" t="str">
        <f>'F_Inputs BP'!$E$2</f>
        <v>Run on 09 Oct 2024 16:53</v>
      </c>
      <c r="G122" t="str">
        <f>'F_Inputs BP'!$E$2</f>
        <v>Run on 09 Oct 2024 16:53</v>
      </c>
      <c r="H122" t="str">
        <f>'F_Inputs BP'!$E$2</f>
        <v>Run on 09 Oct 2024 16:53</v>
      </c>
      <c r="I122" t="str">
        <f>'F_Inputs BP'!$E$2</f>
        <v>Run on 09 Oct 2024 16:53</v>
      </c>
      <c r="J122" t="str">
        <f>'F_Inputs BP'!$E$2</f>
        <v>Run on 09 Oct 2024 16:53</v>
      </c>
      <c r="K122" t="str">
        <f>'F_Inputs BP'!$E$2</f>
        <v>Run on 09 Oct 2024 16:53</v>
      </c>
      <c r="L122" t="str">
        <f>'F_Inputs BP'!$E$2</f>
        <v>Run on 09 Oct 2024 16:53</v>
      </c>
      <c r="M122" t="str">
        <f>'F_Inputs BP'!$E$2</f>
        <v>Run on 09 Oct 2024 16:53</v>
      </c>
    </row>
    <row r="123" spans="1:13">
      <c r="A123" t="s">
        <v>74</v>
      </c>
      <c r="B123" t="str">
        <f xml:space="preserve"> CONCATENATE("PR24QA_",  $C$2, "_OUT4")</f>
        <v>PR24QA_PR24CA46_OUT4</v>
      </c>
      <c r="C123" t="str">
        <f xml:space="preserve"> CONCATENATE("Model override switch for - ", $C$2)</f>
        <v>Model override switch for - PR24CA46</v>
      </c>
      <c r="D123" t="s">
        <v>381</v>
      </c>
      <c r="E123" t="s">
        <v>54</v>
      </c>
      <c r="F123">
        <f>IF(SUM('F_Input Override'!$F$4:$J$20)&gt;0,1,0)</f>
        <v>1</v>
      </c>
      <c r="G123">
        <f>IF(SUM('F_Input Override'!$F$4:$J$20)&gt;0,1,0)</f>
        <v>1</v>
      </c>
      <c r="H123">
        <f>IF(SUM('F_Input Override'!$F$4:$J$20)&gt;0,1,0)</f>
        <v>1</v>
      </c>
      <c r="I123">
        <f>IF(SUM('F_Input Override'!$F$4:$J$20)&gt;0,1,0)</f>
        <v>1</v>
      </c>
      <c r="J123">
        <f>IF(SUM('F_Input Override'!$F$4:$J$20)&gt;0,1,0)</f>
        <v>1</v>
      </c>
      <c r="K123">
        <f>IF(SUM('F_Input Override'!$F$4:$J$20)&gt;0,1,0)</f>
        <v>1</v>
      </c>
      <c r="L123">
        <f>IF(SUM('F_Input Override'!$F$4:$J$20)&gt;0,1,0)</f>
        <v>1</v>
      </c>
      <c r="M123">
        <f>IF(SUM('F_Input Override'!$F$4:$J$20)&gt;0,1,0)</f>
        <v>1</v>
      </c>
    </row>
    <row r="124" spans="1:13">
      <c r="A124" t="s">
        <v>74</v>
      </c>
      <c r="B124" t="str">
        <f>CONCATENATE("C_", $C$2, "_ENH_W_ASSESSED")</f>
        <v>C_PR24CA46_ENH_W_ASSESSED</v>
      </c>
      <c r="C124" t="str">
        <f>CONCATENATE("Total amount assessed - ", MID($C$5,31,200))</f>
        <v>Total amount assessed - Water - Strategic resource options - Totex</v>
      </c>
      <c r="D124" t="s">
        <v>60</v>
      </c>
      <c r="E124" t="s">
        <v>54</v>
      </c>
      <c r="F124">
        <f xml:space="preserve"> SUMIFS(Allowance!$E$10:$E$26, Allowance!$B$10:$B$26, A124)</f>
        <v>63.53</v>
      </c>
    </row>
    <row r="125" spans="1:13">
      <c r="A125" t="s">
        <v>75</v>
      </c>
      <c r="B125" t="str">
        <f>CONCATENATE("C_", $C$2, "_ENH_W_TOT")</f>
        <v>C_PR24CA46_ENH_W_TOT</v>
      </c>
      <c r="C125" t="str">
        <f xml:space="preserve"> $C$5</f>
        <v>Total enhancement allowance - Water - Strategic resource options - Totex</v>
      </c>
      <c r="D125" t="s">
        <v>60</v>
      </c>
      <c r="E125" t="s">
        <v>54</v>
      </c>
      <c r="I125">
        <f xml:space="preserve"> SUMIFS('Outputs to aggregator'!D$76:D$92, 'Outputs to aggregator'!$B$76:$B$92, $A125)</f>
        <v>0</v>
      </c>
      <c r="J125">
        <f xml:space="preserve"> SUMIFS('Outputs to aggregator'!E$76:E$92, 'Outputs to aggregator'!$B$76:$B$92, $A125)</f>
        <v>0</v>
      </c>
      <c r="K125">
        <f xml:space="preserve"> SUMIFS('Outputs to aggregator'!F$76:F$92, 'Outputs to aggregator'!$B$76:$B$92, $A125)</f>
        <v>0</v>
      </c>
      <c r="L125">
        <f xml:space="preserve"> SUMIFS('Outputs to aggregator'!G$76:G$92, 'Outputs to aggregator'!$B$76:$B$92, $A125)</f>
        <v>0</v>
      </c>
      <c r="M125">
        <f xml:space="preserve"> SUMIFS('Outputs to aggregator'!H$76:H$92, 'Outputs to aggregator'!$B$76:$B$92, $A125)</f>
        <v>0</v>
      </c>
    </row>
    <row r="126" spans="1:13">
      <c r="A126" t="s">
        <v>75</v>
      </c>
      <c r="B126" t="str">
        <f>CONCATENATE("C_", $C$2, "_ENH_W_AP")</f>
        <v>C_PR24CA46_ENH_W_AP</v>
      </c>
      <c r="C126" t="str">
        <f xml:space="preserve"> $C$6</f>
        <v>Total enhancement allowance - Water - Strategic resource options - Accelerated programme</v>
      </c>
      <c r="D126" t="s">
        <v>60</v>
      </c>
      <c r="E126" t="s">
        <v>54</v>
      </c>
    </row>
    <row r="127" spans="1:13">
      <c r="A127" t="s">
        <v>75</v>
      </c>
      <c r="B127" t="str">
        <f>CONCATENATE("C_", $C$2, "_ENH_W_TE")</f>
        <v>C_PR24CA46_ENH_W_TE</v>
      </c>
      <c r="C127" t="str">
        <f xml:space="preserve"> $C$7</f>
        <v>Total enhancement allowance - Water - Strategic resource options - Transition allowance</v>
      </c>
      <c r="D127" t="s">
        <v>60</v>
      </c>
      <c r="E127" t="s">
        <v>54</v>
      </c>
    </row>
    <row r="128" spans="1:13">
      <c r="A128" t="s">
        <v>75</v>
      </c>
      <c r="B128" t="str">
        <f xml:space="preserve"> CONCATENATE("PR24QA_",  $C$2, "_OUT1")</f>
        <v>PR24QA_PR24CA46_OUT1</v>
      </c>
      <c r="C128" t="str">
        <f xml:space="preserve"> CONCATENATE("Date &amp; Time for Model - ", $C$2)</f>
        <v>Date &amp; Time for Model - PR24CA46</v>
      </c>
      <c r="D128" t="s">
        <v>380</v>
      </c>
      <c r="E128" t="s">
        <v>54</v>
      </c>
      <c r="F128" t="str">
        <f t="shared" ref="F128:M128" ca="1" si="30">CONCATENATE("[…]", TEXT(NOW(),"dd/mm/yyy hh:mm:ss"))</f>
        <v>[…]17/12/2024 11:22:11</v>
      </c>
      <c r="G128" t="str">
        <f t="shared" ca="1" si="30"/>
        <v>[…]17/12/2024 11:22:11</v>
      </c>
      <c r="H128" t="str">
        <f t="shared" ca="1" si="30"/>
        <v>[…]17/12/2024 11:22:11</v>
      </c>
      <c r="I128" t="str">
        <f t="shared" ca="1" si="30"/>
        <v>[…]17/12/2024 11:22:11</v>
      </c>
      <c r="J128" t="str">
        <f t="shared" ca="1" si="30"/>
        <v>[…]17/12/2024 11:22:11</v>
      </c>
      <c r="K128" t="str">
        <f t="shared" ca="1" si="30"/>
        <v>[…]17/12/2024 11:22:11</v>
      </c>
      <c r="L128" t="str">
        <f t="shared" ca="1" si="30"/>
        <v>[…]17/12/2024 11:22:11</v>
      </c>
      <c r="M128" t="str">
        <f t="shared" ca="1" si="30"/>
        <v>[…]17/12/2024 11:22:11</v>
      </c>
    </row>
    <row r="129" spans="1:13">
      <c r="A129" t="s">
        <v>75</v>
      </c>
      <c r="B129" t="str">
        <f xml:space="preserve"> CONCATENATE("PR24QA_",  $C$2, "_OUT2")</f>
        <v>PR24QA_PR24CA46_OUT2</v>
      </c>
      <c r="C129" t="str">
        <f xml:space="preserve"> CONCATENATE("Name of Model - ", $C$2)</f>
        <v>Name of Model - PR24CA46</v>
      </c>
      <c r="D129" t="s">
        <v>380</v>
      </c>
      <c r="E129" t="s">
        <v>54</v>
      </c>
      <c r="F129" t="e">
        <f t="shared" ref="F129:M129" ca="1" si="31">MID(CELL("filename"),SEARCH("[",CELL("filename"))+1,SEARCH("]",CELL("filename"))-SEARCH("[",CELL("filename"))-1)</f>
        <v>#VALUE!</v>
      </c>
      <c r="G129" t="e">
        <f t="shared" ca="1" si="31"/>
        <v>#VALUE!</v>
      </c>
      <c r="H129" t="e">
        <f t="shared" ca="1" si="31"/>
        <v>#VALUE!</v>
      </c>
      <c r="I129" t="e">
        <f t="shared" ca="1" si="31"/>
        <v>#VALUE!</v>
      </c>
      <c r="J129" t="e">
        <f t="shared" ca="1" si="31"/>
        <v>#VALUE!</v>
      </c>
      <c r="K129" t="e">
        <f t="shared" ca="1" si="31"/>
        <v>#VALUE!</v>
      </c>
      <c r="L129" t="e">
        <f t="shared" ca="1" si="31"/>
        <v>#VALUE!</v>
      </c>
      <c r="M129" t="e">
        <f t="shared" ca="1" si="31"/>
        <v>#VALUE!</v>
      </c>
    </row>
    <row r="130" spans="1:13">
      <c r="A130" t="s">
        <v>75</v>
      </c>
      <c r="B130" t="str">
        <f xml:space="preserve"> CONCATENATE("PR24QA_",  $C$2, "_OUT3")</f>
        <v>PR24QA_PR24CA46_OUT3</v>
      </c>
      <c r="C130" t="str">
        <f xml:space="preserve"> CONCATENATE("F_Inputs time stamp - ", $C$2)</f>
        <v>F_Inputs time stamp - PR24CA46</v>
      </c>
      <c r="D130" t="s">
        <v>380</v>
      </c>
      <c r="E130" t="s">
        <v>54</v>
      </c>
      <c r="F130" t="str">
        <f>'F_Inputs BP'!$E$2</f>
        <v>Run on 09 Oct 2024 16:53</v>
      </c>
      <c r="G130" t="str">
        <f>'F_Inputs BP'!$E$2</f>
        <v>Run on 09 Oct 2024 16:53</v>
      </c>
      <c r="H130" t="str">
        <f>'F_Inputs BP'!$E$2</f>
        <v>Run on 09 Oct 2024 16:53</v>
      </c>
      <c r="I130" t="str">
        <f>'F_Inputs BP'!$E$2</f>
        <v>Run on 09 Oct 2024 16:53</v>
      </c>
      <c r="J130" t="str">
        <f>'F_Inputs BP'!$E$2</f>
        <v>Run on 09 Oct 2024 16:53</v>
      </c>
      <c r="K130" t="str">
        <f>'F_Inputs BP'!$E$2</f>
        <v>Run on 09 Oct 2024 16:53</v>
      </c>
      <c r="L130" t="str">
        <f>'F_Inputs BP'!$E$2</f>
        <v>Run on 09 Oct 2024 16:53</v>
      </c>
      <c r="M130" t="str">
        <f>'F_Inputs BP'!$E$2</f>
        <v>Run on 09 Oct 2024 16:53</v>
      </c>
    </row>
    <row r="131" spans="1:13">
      <c r="A131" t="s">
        <v>75</v>
      </c>
      <c r="B131" t="str">
        <f xml:space="preserve"> CONCATENATE("PR24QA_",  $C$2, "_OUT4")</f>
        <v>PR24QA_PR24CA46_OUT4</v>
      </c>
      <c r="C131" t="str">
        <f xml:space="preserve"> CONCATENATE("Model override switch for - ", $C$2)</f>
        <v>Model override switch for - PR24CA46</v>
      </c>
      <c r="D131" t="s">
        <v>381</v>
      </c>
      <c r="E131" t="s">
        <v>54</v>
      </c>
      <c r="F131">
        <f>IF(SUM('F_Input Override'!$F$4:$J$20)&gt;0,1,0)</f>
        <v>1</v>
      </c>
      <c r="G131">
        <f>IF(SUM('F_Input Override'!$F$4:$J$20)&gt;0,1,0)</f>
        <v>1</v>
      </c>
      <c r="H131">
        <f>IF(SUM('F_Input Override'!$F$4:$J$20)&gt;0,1,0)</f>
        <v>1</v>
      </c>
      <c r="I131">
        <f>IF(SUM('F_Input Override'!$F$4:$J$20)&gt;0,1,0)</f>
        <v>1</v>
      </c>
      <c r="J131">
        <f>IF(SUM('F_Input Override'!$F$4:$J$20)&gt;0,1,0)</f>
        <v>1</v>
      </c>
      <c r="K131">
        <f>IF(SUM('F_Input Override'!$F$4:$J$20)&gt;0,1,0)</f>
        <v>1</v>
      </c>
      <c r="L131">
        <f>IF(SUM('F_Input Override'!$F$4:$J$20)&gt;0,1,0)</f>
        <v>1</v>
      </c>
      <c r="M131">
        <f>IF(SUM('F_Input Override'!$F$4:$J$20)&gt;0,1,0)</f>
        <v>1</v>
      </c>
    </row>
    <row r="132" spans="1:13">
      <c r="A132" t="s">
        <v>75</v>
      </c>
      <c r="B132" t="str">
        <f>CONCATENATE("C_", $C$2, "_ENH_W_ASSESSED")</f>
        <v>C_PR24CA46_ENH_W_ASSESSED</v>
      </c>
      <c r="C132" t="str">
        <f>CONCATENATE("Total amount assessed - ", MID($C$5,31,200))</f>
        <v>Total amount assessed - Water - Strategic resource options - Totex</v>
      </c>
      <c r="D132" t="s">
        <v>60</v>
      </c>
      <c r="E132" t="s">
        <v>54</v>
      </c>
      <c r="F132">
        <f xml:space="preserve"> SUMIFS(Allowance!$E$10:$E$26, Allowance!$B$10:$B$26, A132)</f>
        <v>0</v>
      </c>
    </row>
    <row r="133" spans="1:13">
      <c r="A133" t="s">
        <v>76</v>
      </c>
      <c r="B133" t="str">
        <f>CONCATENATE("C_", $C$2, "_ENH_W_TOT")</f>
        <v>C_PR24CA46_ENH_W_TOT</v>
      </c>
      <c r="C133" t="str">
        <f xml:space="preserve"> $C$5</f>
        <v>Total enhancement allowance - Water - Strategic resource options - Totex</v>
      </c>
      <c r="D133" t="s">
        <v>60</v>
      </c>
      <c r="E133" t="s">
        <v>54</v>
      </c>
      <c r="I133">
        <f xml:space="preserve"> SUMIFS('Outputs to aggregator'!D$76:D$92, 'Outputs to aggregator'!$B$76:$B$92, $A133)</f>
        <v>0</v>
      </c>
      <c r="J133">
        <f xml:space="preserve"> SUMIFS('Outputs to aggregator'!E$76:E$92, 'Outputs to aggregator'!$B$76:$B$92, $A133)</f>
        <v>0</v>
      </c>
      <c r="K133">
        <f xml:space="preserve"> SUMIFS('Outputs to aggregator'!F$76:F$92, 'Outputs to aggregator'!$B$76:$B$92, $A133)</f>
        <v>0</v>
      </c>
      <c r="L133">
        <f xml:space="preserve"> SUMIFS('Outputs to aggregator'!G$76:G$92, 'Outputs to aggregator'!$B$76:$B$92, $A133)</f>
        <v>0</v>
      </c>
      <c r="M133">
        <f xml:space="preserve"> SUMIFS('Outputs to aggregator'!H$76:H$92, 'Outputs to aggregator'!$B$76:$B$92, $A133)</f>
        <v>0</v>
      </c>
    </row>
    <row r="134" spans="1:13">
      <c r="A134" t="s">
        <v>76</v>
      </c>
      <c r="B134" t="str">
        <f>CONCATENATE("C_", $C$2, "_ENH_W_AP")</f>
        <v>C_PR24CA46_ENH_W_AP</v>
      </c>
      <c r="C134" t="str">
        <f xml:space="preserve"> $C$6</f>
        <v>Total enhancement allowance - Water - Strategic resource options - Accelerated programme</v>
      </c>
      <c r="D134" t="s">
        <v>60</v>
      </c>
      <c r="E134" t="s">
        <v>54</v>
      </c>
    </row>
    <row r="135" spans="1:13">
      <c r="A135" t="s">
        <v>76</v>
      </c>
      <c r="B135" t="str">
        <f>CONCATENATE("C_", $C$2, "_ENH_W_TE")</f>
        <v>C_PR24CA46_ENH_W_TE</v>
      </c>
      <c r="C135" t="str">
        <f xml:space="preserve"> $C$7</f>
        <v>Total enhancement allowance - Water - Strategic resource options - Transition allowance</v>
      </c>
      <c r="D135" t="s">
        <v>60</v>
      </c>
      <c r="E135" t="s">
        <v>54</v>
      </c>
    </row>
    <row r="136" spans="1:13">
      <c r="A136" t="s">
        <v>76</v>
      </c>
      <c r="B136" t="str">
        <f xml:space="preserve"> CONCATENATE("PR24QA_",  $C$2, "_OUT1")</f>
        <v>PR24QA_PR24CA46_OUT1</v>
      </c>
      <c r="C136" t="str">
        <f xml:space="preserve"> CONCATENATE("Date &amp; Time for Model - ", $C$2)</f>
        <v>Date &amp; Time for Model - PR24CA46</v>
      </c>
      <c r="D136" t="s">
        <v>380</v>
      </c>
      <c r="E136" t="s">
        <v>54</v>
      </c>
      <c r="F136" t="str">
        <f t="shared" ref="F136:M136" ca="1" si="32">CONCATENATE("[…]", TEXT(NOW(),"dd/mm/yyy hh:mm:ss"))</f>
        <v>[…]17/12/2024 11:22:11</v>
      </c>
      <c r="G136" t="str">
        <f t="shared" ca="1" si="32"/>
        <v>[…]17/12/2024 11:22:11</v>
      </c>
      <c r="H136" t="str">
        <f t="shared" ca="1" si="32"/>
        <v>[…]17/12/2024 11:22:11</v>
      </c>
      <c r="I136" t="str">
        <f t="shared" ca="1" si="32"/>
        <v>[…]17/12/2024 11:22:11</v>
      </c>
      <c r="J136" t="str">
        <f t="shared" ca="1" si="32"/>
        <v>[…]17/12/2024 11:22:11</v>
      </c>
      <c r="K136" t="str">
        <f t="shared" ca="1" si="32"/>
        <v>[…]17/12/2024 11:22:11</v>
      </c>
      <c r="L136" t="str">
        <f t="shared" ca="1" si="32"/>
        <v>[…]17/12/2024 11:22:11</v>
      </c>
      <c r="M136" t="str">
        <f t="shared" ca="1" si="32"/>
        <v>[…]17/12/2024 11:22:11</v>
      </c>
    </row>
    <row r="137" spans="1:13">
      <c r="A137" t="s">
        <v>76</v>
      </c>
      <c r="B137" t="str">
        <f xml:space="preserve"> CONCATENATE("PR24QA_",  $C$2, "_OUT2")</f>
        <v>PR24QA_PR24CA46_OUT2</v>
      </c>
      <c r="C137" t="str">
        <f xml:space="preserve"> CONCATENATE("Name of Model - ", $C$2)</f>
        <v>Name of Model - PR24CA46</v>
      </c>
      <c r="D137" t="s">
        <v>380</v>
      </c>
      <c r="E137" t="s">
        <v>54</v>
      </c>
      <c r="F137" t="e">
        <f t="shared" ref="F137:M137" ca="1" si="33">MID(CELL("filename"),SEARCH("[",CELL("filename"))+1,SEARCH("]",CELL("filename"))-SEARCH("[",CELL("filename"))-1)</f>
        <v>#VALUE!</v>
      </c>
      <c r="G137" t="e">
        <f t="shared" ca="1" si="33"/>
        <v>#VALUE!</v>
      </c>
      <c r="H137" t="e">
        <f t="shared" ca="1" si="33"/>
        <v>#VALUE!</v>
      </c>
      <c r="I137" t="e">
        <f t="shared" ca="1" si="33"/>
        <v>#VALUE!</v>
      </c>
      <c r="J137" t="e">
        <f t="shared" ca="1" si="33"/>
        <v>#VALUE!</v>
      </c>
      <c r="K137" t="e">
        <f t="shared" ca="1" si="33"/>
        <v>#VALUE!</v>
      </c>
      <c r="L137" t="e">
        <f t="shared" ca="1" si="33"/>
        <v>#VALUE!</v>
      </c>
      <c r="M137" t="e">
        <f t="shared" ca="1" si="33"/>
        <v>#VALUE!</v>
      </c>
    </row>
    <row r="138" spans="1:13">
      <c r="A138" t="s">
        <v>76</v>
      </c>
      <c r="B138" t="str">
        <f xml:space="preserve"> CONCATENATE("PR24QA_",  $C$2, "_OUT3")</f>
        <v>PR24QA_PR24CA46_OUT3</v>
      </c>
      <c r="C138" t="str">
        <f xml:space="preserve"> CONCATENATE("F_Inputs time stamp - ", $C$2)</f>
        <v>F_Inputs time stamp - PR24CA46</v>
      </c>
      <c r="D138" t="s">
        <v>380</v>
      </c>
      <c r="E138" t="s">
        <v>54</v>
      </c>
      <c r="F138" t="str">
        <f>'F_Inputs BP'!$E$2</f>
        <v>Run on 09 Oct 2024 16:53</v>
      </c>
      <c r="G138" t="str">
        <f>'F_Inputs BP'!$E$2</f>
        <v>Run on 09 Oct 2024 16:53</v>
      </c>
      <c r="H138" t="str">
        <f>'F_Inputs BP'!$E$2</f>
        <v>Run on 09 Oct 2024 16:53</v>
      </c>
      <c r="I138" t="str">
        <f>'F_Inputs BP'!$E$2</f>
        <v>Run on 09 Oct 2024 16:53</v>
      </c>
      <c r="J138" t="str">
        <f>'F_Inputs BP'!$E$2</f>
        <v>Run on 09 Oct 2024 16:53</v>
      </c>
      <c r="K138" t="str">
        <f>'F_Inputs BP'!$E$2</f>
        <v>Run on 09 Oct 2024 16:53</v>
      </c>
      <c r="L138" t="str">
        <f>'F_Inputs BP'!$E$2</f>
        <v>Run on 09 Oct 2024 16:53</v>
      </c>
      <c r="M138" t="str">
        <f>'F_Inputs BP'!$E$2</f>
        <v>Run on 09 Oct 2024 16:53</v>
      </c>
    </row>
    <row r="139" spans="1:13">
      <c r="A139" t="s">
        <v>76</v>
      </c>
      <c r="B139" t="str">
        <f xml:space="preserve"> CONCATENATE("PR24QA_",  $C$2, "_OUT4")</f>
        <v>PR24QA_PR24CA46_OUT4</v>
      </c>
      <c r="C139" t="str">
        <f xml:space="preserve"> CONCATENATE("Model override switch for - ", $C$2)</f>
        <v>Model override switch for - PR24CA46</v>
      </c>
      <c r="D139" t="s">
        <v>381</v>
      </c>
      <c r="E139" t="s">
        <v>54</v>
      </c>
      <c r="F139">
        <f>IF(SUM('F_Input Override'!$F$4:$J$20)&gt;0,1,0)</f>
        <v>1</v>
      </c>
      <c r="G139">
        <f>IF(SUM('F_Input Override'!$F$4:$J$20)&gt;0,1,0)</f>
        <v>1</v>
      </c>
      <c r="H139">
        <f>IF(SUM('F_Input Override'!$F$4:$J$20)&gt;0,1,0)</f>
        <v>1</v>
      </c>
      <c r="I139">
        <f>IF(SUM('F_Input Override'!$F$4:$J$20)&gt;0,1,0)</f>
        <v>1</v>
      </c>
      <c r="J139">
        <f>IF(SUM('F_Input Override'!$F$4:$J$20)&gt;0,1,0)</f>
        <v>1</v>
      </c>
      <c r="K139">
        <f>IF(SUM('F_Input Override'!$F$4:$J$20)&gt;0,1,0)</f>
        <v>1</v>
      </c>
      <c r="L139">
        <f>IF(SUM('F_Input Override'!$F$4:$J$20)&gt;0,1,0)</f>
        <v>1</v>
      </c>
      <c r="M139">
        <f>IF(SUM('F_Input Override'!$F$4:$J$20)&gt;0,1,0)</f>
        <v>1</v>
      </c>
    </row>
    <row r="140" spans="1:13">
      <c r="A140" t="s">
        <v>76</v>
      </c>
      <c r="B140" t="str">
        <f>CONCATENATE("C_", $C$2, "_ENH_W_ASSESSED")</f>
        <v>C_PR24CA46_ENH_W_ASSESSED</v>
      </c>
      <c r="C140" t="str">
        <f>CONCATENATE("Total amount assessed - ", MID($C$5,31,200))</f>
        <v>Total amount assessed - Water - Strategic resource options - Totex</v>
      </c>
      <c r="D140" t="s">
        <v>60</v>
      </c>
      <c r="E140" t="s">
        <v>54</v>
      </c>
      <c r="F140">
        <f xml:space="preserve"> SUMIFS(Allowance!$E$10:$E$26, Allowance!$B$10:$B$26, A140)</f>
        <v>0</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010F36128E44943B1120CACFDAE9F7B" ma:contentTypeVersion="18" ma:contentTypeDescription="Create a new document." ma:contentTypeScope="" ma:versionID="dda5e66041eeea5ffa9dd507a65eac01">
  <xsd:schema xmlns:xsd="http://www.w3.org/2001/XMLSchema" xmlns:xs="http://www.w3.org/2001/XMLSchema" xmlns:p="http://schemas.microsoft.com/office/2006/metadata/properties" xmlns:ns2="fadac89a-56fa-4a3d-a427-8ae1dcb95347" xmlns:ns3="71c95305-930c-4d63-9794-2d644343057c" targetNamespace="http://schemas.microsoft.com/office/2006/metadata/properties" ma:root="true" ma:fieldsID="07887bece720a3db8d95f18e05c1dc4e" ns2:_="" ns3:_="">
    <xsd:import namespace="fadac89a-56fa-4a3d-a427-8ae1dcb95347"/>
    <xsd:import namespace="71c95305-930c-4d63-9794-2d644343057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ref"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adac89a-56fa-4a3d-a427-8ae1dcb9534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ref" ma:index="12" nillable="true" ma:displayName="ref" ma:format="Dropdown" ma:internalName="ref">
      <xsd:simpleType>
        <xsd:restriction base="dms:Text">
          <xsd:maxLength value="255"/>
        </xsd:restriction>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e0e5cfab-624c-4e44-8ff4-7cd112c8ab77"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1c95305-930c-4d63-9794-2d644343057c"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ffcfc185-b934-4070-b809-bad603feb5c3}" ma:internalName="TaxCatchAll" ma:showField="CatchAllData" ma:web="71c95305-930c-4d63-9794-2d644343057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fadac89a-56fa-4a3d-a427-8ae1dcb95347">
      <Terms xmlns="http://schemas.microsoft.com/office/infopath/2007/PartnerControls"/>
    </lcf76f155ced4ddcb4097134ff3c332f>
    <TaxCatchAll xmlns="71c95305-930c-4d63-9794-2d644343057c" xsi:nil="true"/>
    <ref xmlns="fadac89a-56fa-4a3d-a427-8ae1dcb9534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8605560-F7BD-4429-A91A-38E10187AF98}"/>
</file>

<file path=customXml/itemProps2.xml><?xml version="1.0" encoding="utf-8"?>
<ds:datastoreItem xmlns:ds="http://schemas.openxmlformats.org/officeDocument/2006/customXml" ds:itemID="{2BE9595E-DFE4-4112-951E-FF91685F36B7}"/>
</file>

<file path=customXml/itemProps3.xml><?xml version="1.0" encoding="utf-8"?>
<ds:datastoreItem xmlns:ds="http://schemas.openxmlformats.org/officeDocument/2006/customXml" ds:itemID="{A1D0F71A-73E8-4CDB-9BA3-9251ACC4CFC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Hugh Myers</cp:lastModifiedBy>
  <cp:revision>1</cp:revision>
  <dcterms:created xsi:type="dcterms:W3CDTF">2024-12-14T10:27:26Z</dcterms:created>
  <dcterms:modified xsi:type="dcterms:W3CDTF">2024-12-17T11:22:11Z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axKeyword">
    <vt:lpwstr/>
  </property>
  <property fmtid="{D5CDD505-2E9C-101B-9397-08002B2CF9AE}" pid="3" name="Order">
    <vt:r8>8700</vt:r8>
  </property>
  <property fmtid="{D5CDD505-2E9C-101B-9397-08002B2CF9AE}" pid="4" name="j014a7bd3fd34d828fc493e84f684b49">
    <vt:lpwstr/>
  </property>
  <property fmtid="{D5CDD505-2E9C-101B-9397-08002B2CF9AE}" pid="5" name="Meeting">
    <vt:lpwstr/>
  </property>
  <property fmtid="{D5CDD505-2E9C-101B-9397-08002B2CF9AE}" pid="6" name="b2faa34e97554b63aaaf45270201a270">
    <vt:lpwstr/>
  </property>
  <property fmtid="{D5CDD505-2E9C-101B-9397-08002B2CF9AE}" pid="7" name="PageName">
    <vt:lpwstr/>
  </property>
  <property fmtid="{D5CDD505-2E9C-101B-9397-08002B2CF9AE}" pid="8" name="xd_ProgID">
    <vt:lpwstr/>
  </property>
  <property fmtid="{D5CDD505-2E9C-101B-9397-08002B2CF9AE}" pid="9" name="MediaServiceImageTags">
    <vt:lpwstr/>
  </property>
  <property fmtid="{D5CDD505-2E9C-101B-9397-08002B2CF9AE}" pid="10" name="Stakeholder 2">
    <vt:lpwstr/>
  </property>
  <property fmtid="{D5CDD505-2E9C-101B-9397-08002B2CF9AE}" pid="11" name="ContentTypeId">
    <vt:lpwstr>0x0101004010F36128E44943B1120CACFDAE9F7B</vt:lpwstr>
  </property>
  <property fmtid="{D5CDD505-2E9C-101B-9397-08002B2CF9AE}" pid="12" name="Hierarchy">
    <vt:lpwstr/>
  </property>
  <property fmtid="{D5CDD505-2E9C-101B-9397-08002B2CF9AE}" pid="13" name="ComplianceAssetId">
    <vt:lpwstr/>
  </property>
  <property fmtid="{D5CDD505-2E9C-101B-9397-08002B2CF9AE}" pid="14" name="TemplateUrl">
    <vt:lpwstr/>
  </property>
  <property fmtid="{D5CDD505-2E9C-101B-9397-08002B2CF9AE}" pid="15" name="Collection">
    <vt:lpwstr/>
  </property>
  <property fmtid="{D5CDD505-2E9C-101B-9397-08002B2CF9AE}" pid="16" name="m279c8e365374608a4eb2bb657f838c2">
    <vt:lpwstr/>
  </property>
  <property fmtid="{D5CDD505-2E9C-101B-9397-08002B2CF9AE}" pid="17" name="Project Code">
    <vt:lpwstr/>
  </property>
  <property fmtid="{D5CDD505-2E9C-101B-9397-08002B2CF9AE}" pid="18" name="OfwatPolicyType">
    <vt:lpwstr>2;#Form|370855c6-d98d-422f-af45-033b01692a3f</vt:lpwstr>
  </property>
  <property fmtid="{D5CDD505-2E9C-101B-9397-08002B2CF9AE}" pid="19" name="j7c77f2a1a924badb0d621542422dc19">
    <vt:lpwstr/>
  </property>
  <property fmtid="{D5CDD505-2E9C-101B-9397-08002B2CF9AE}" pid="20" name="Stakeholder 3">
    <vt:lpwstr/>
  </property>
  <property fmtid="{D5CDD505-2E9C-101B-9397-08002B2CF9AE}" pid="21" name="OfwatPolicyCategory">
    <vt:lpwstr>3;#All Ofwat|818d8686-f149-4d61-afd2-beebc820126a</vt:lpwstr>
  </property>
  <property fmtid="{D5CDD505-2E9C-101B-9397-08002B2CF9AE}" pid="22" name="Water Companies">
    <vt:lpwstr/>
  </property>
  <property fmtid="{D5CDD505-2E9C-101B-9397-08002B2CF9AE}" pid="23" name="_ExtendedDescription">
    <vt:lpwstr/>
  </property>
  <property fmtid="{D5CDD505-2E9C-101B-9397-08002B2CF9AE}" pid="24" name="e3282ffb8aa84113a2fc01ee206d1f3f">
    <vt:lpwstr>Form|370855c6-d98d-422f-af45-033b01692a3f</vt:lpwstr>
  </property>
  <property fmtid="{D5CDD505-2E9C-101B-9397-08002B2CF9AE}" pid="25" name="a9250910d34f4f6d82af870f608babb6">
    <vt:lpwstr/>
  </property>
  <property fmtid="{D5CDD505-2E9C-101B-9397-08002B2CF9AE}" pid="26" name="oe9d4f963f4c420b8d2b35d038476850">
    <vt:lpwstr/>
  </property>
  <property fmtid="{D5CDD505-2E9C-101B-9397-08002B2CF9AE}" pid="27" name="Document Type">
    <vt:lpwstr/>
  </property>
  <property fmtid="{D5CDD505-2E9C-101B-9397-08002B2CF9AE}" pid="28" name="OfwatPolicyTopic">
    <vt:lpwstr/>
  </property>
  <property fmtid="{D5CDD505-2E9C-101B-9397-08002B2CF9AE}" pid="29" name="b128efbe498d4e38a73555a2e7be12ea">
    <vt:lpwstr/>
  </property>
  <property fmtid="{D5CDD505-2E9C-101B-9397-08002B2CF9AE}" pid="30" name="Stakeholder 4">
    <vt:lpwstr/>
  </property>
  <property fmtid="{D5CDD505-2E9C-101B-9397-08002B2CF9AE}" pid="31" name="xd_Signature">
    <vt:bool>false</vt:bool>
  </property>
  <property fmtid="{D5CDD505-2E9C-101B-9397-08002B2CF9AE}" pid="32" name="GUID">
    <vt:lpwstr>2879a730-d57d-4bee-a1a9-aef614050b47</vt:lpwstr>
  </property>
  <property fmtid="{D5CDD505-2E9C-101B-9397-08002B2CF9AE}" pid="33" name="da4e9ae56afa494a84f353054bd212ec">
    <vt:lpwstr/>
  </property>
  <property fmtid="{D5CDD505-2E9C-101B-9397-08002B2CF9AE}" pid="34" name="f8aa492165544285b4c7fe9d1b6ad82c">
    <vt:lpwstr/>
  </property>
  <property fmtid="{D5CDD505-2E9C-101B-9397-08002B2CF9AE}" pid="35" name="Stakeholder 5">
    <vt:lpwstr/>
  </property>
  <property fmtid="{D5CDD505-2E9C-101B-9397-08002B2CF9AE}" pid="36" name="Area">
    <vt:lpwstr>2;#All Ofwat|a2f0c570-ff2d-47bb-b6f0-977a73bf09bf</vt:lpwstr>
  </property>
  <property fmtid="{D5CDD505-2E9C-101B-9397-08002B2CF9AE}" pid="37" name="b20f10deb29d4945907115b7b62c5b70">
    <vt:lpwstr/>
  </property>
  <property fmtid="{D5CDD505-2E9C-101B-9397-08002B2CF9AE}" pid="38" name="DocumentType">
    <vt:lpwstr>4;#Form|0296d661-b298-4bb3-82b3-ac8e6c6047c5</vt:lpwstr>
  </property>
  <property fmtid="{D5CDD505-2E9C-101B-9397-08002B2CF9AE}" pid="39" name="a3e3f1078fb942d09b9b3b0aad8c1e11">
    <vt:lpwstr>All Ofwat|818d8686-f149-4d61-afd2-beebc820126a</vt:lpwstr>
  </property>
  <property fmtid="{D5CDD505-2E9C-101B-9397-08002B2CF9AE}" pid="40" name="TriggerFlowInfo">
    <vt:lpwstr/>
  </property>
  <property fmtid="{D5CDD505-2E9C-101B-9397-08002B2CF9AE}" pid="41" name="Stakeholder">
    <vt:lpwstr/>
  </property>
  <property fmtid="{D5CDD505-2E9C-101B-9397-08002B2CF9AE}" pid="42" name="Security Classification">
    <vt:lpwstr/>
  </property>
</Properties>
</file>